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LIAN\Documents\4. 2024\7. PROCESOS CONTRACTUALES\FERRETERIA\"/>
    </mc:Choice>
  </mc:AlternateContent>
  <bookViews>
    <workbookView xWindow="0" yWindow="0" windowWidth="20490" windowHeight="6105" activeTab="1"/>
  </bookViews>
  <sheets>
    <sheet name="EM NO INCLUIDOS RFI170385" sheetId="9" r:id="rId1"/>
    <sheet name="RESUMEN CONSTANCIA DE MERCA" sheetId="6" r:id="rId2"/>
    <sheet name="LISTA PRECIOS TECHO" sheetId="7" r:id="rId3"/>
    <sheet name="NO SE ENCONTRARON" sheetId="5" state="hidden" r:id="rId4"/>
  </sheets>
  <definedNames>
    <definedName name="_xlnm._FilterDatabase" localSheetId="0" hidden="1">'EM NO INCLUIDOS RFI170385'!$A$12:$BH$97</definedName>
    <definedName name="_xlnm._FilterDatabase" localSheetId="3" hidden="1">'NO SE ENCONTRARON'!$A$2:$O$34</definedName>
    <definedName name="_xlnm.Print_Area" localSheetId="1">'RESUMEN CONSTANCIA DE MERCA'!$A$1:$S$22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7" l="1"/>
  <c r="AU97" i="9"/>
  <c r="V97" i="9"/>
  <c r="S97" i="9"/>
  <c r="P97" i="9"/>
  <c r="M97" i="9"/>
  <c r="J97" i="9"/>
  <c r="G97" i="9"/>
  <c r="AW96" i="9"/>
  <c r="AV96" i="9"/>
  <c r="Z96" i="9"/>
  <c r="W96" i="9"/>
  <c r="X96" i="9" s="1"/>
  <c r="L96" i="9"/>
  <c r="K96" i="9"/>
  <c r="D96" i="9"/>
  <c r="E96" i="9" s="1"/>
  <c r="AW95" i="9"/>
  <c r="AV95" i="9"/>
  <c r="Z95" i="9"/>
  <c r="X95" i="9"/>
  <c r="W95" i="9"/>
  <c r="L95" i="9"/>
  <c r="K95" i="9"/>
  <c r="D95" i="9"/>
  <c r="AW94" i="9"/>
  <c r="AV94" i="9"/>
  <c r="AC94" i="9"/>
  <c r="AD94" i="9" s="1"/>
  <c r="AB94" i="9"/>
  <c r="AF94" i="9" s="1"/>
  <c r="Z94" i="9"/>
  <c r="W94" i="9"/>
  <c r="X94" i="9" s="1"/>
  <c r="L94" i="9"/>
  <c r="K94" i="9"/>
  <c r="D94" i="9"/>
  <c r="E94" i="9" s="1"/>
  <c r="AV93" i="9"/>
  <c r="AW93" i="9" s="1"/>
  <c r="Z93" i="9"/>
  <c r="W93" i="9"/>
  <c r="X93" i="9" s="1"/>
  <c r="K93" i="9"/>
  <c r="L93" i="9" s="1"/>
  <c r="D93" i="9"/>
  <c r="AW92" i="9"/>
  <c r="AV92" i="9"/>
  <c r="Z92" i="9"/>
  <c r="W92" i="9"/>
  <c r="X92" i="9" s="1"/>
  <c r="K92" i="9"/>
  <c r="L92" i="9" s="1"/>
  <c r="D92" i="9"/>
  <c r="E92" i="9" s="1"/>
  <c r="AW91" i="9"/>
  <c r="AV91" i="9"/>
  <c r="AC91" i="9"/>
  <c r="Z91" i="9"/>
  <c r="W91" i="9"/>
  <c r="X91" i="9" s="1"/>
  <c r="K91" i="9"/>
  <c r="L91" i="9" s="1"/>
  <c r="D91" i="9"/>
  <c r="AV90" i="9"/>
  <c r="AW90" i="9" s="1"/>
  <c r="AN90" i="9"/>
  <c r="AE90" i="9"/>
  <c r="AC90" i="9"/>
  <c r="AD90" i="9" s="1"/>
  <c r="AB90" i="9"/>
  <c r="AF90" i="9" s="1"/>
  <c r="Z90" i="9"/>
  <c r="W90" i="9"/>
  <c r="X90" i="9" s="1"/>
  <c r="K90" i="9"/>
  <c r="L90" i="9" s="1"/>
  <c r="D90" i="9"/>
  <c r="E90" i="9" s="1"/>
  <c r="AW89" i="9"/>
  <c r="AV89" i="9"/>
  <c r="AC89" i="9"/>
  <c r="AD89" i="9" s="1"/>
  <c r="AB89" i="9"/>
  <c r="AF89" i="9" s="1"/>
  <c r="Z89" i="9"/>
  <c r="W89" i="9"/>
  <c r="X89" i="9" s="1"/>
  <c r="K89" i="9"/>
  <c r="L89" i="9" s="1"/>
  <c r="D89" i="9"/>
  <c r="E89" i="9" s="1"/>
  <c r="AW88" i="9"/>
  <c r="AV88" i="9"/>
  <c r="Z88" i="9"/>
  <c r="W88" i="9"/>
  <c r="X88" i="9" s="1"/>
  <c r="K88" i="9"/>
  <c r="L88" i="9" s="1"/>
  <c r="D88" i="9"/>
  <c r="E88" i="9" s="1"/>
  <c r="AW87" i="9"/>
  <c r="AV87" i="9"/>
  <c r="AC87" i="9"/>
  <c r="AB87" i="9"/>
  <c r="Z87" i="9"/>
  <c r="W87" i="9"/>
  <c r="X87" i="9" s="1"/>
  <c r="K87" i="9"/>
  <c r="L87" i="9" s="1"/>
  <c r="D87" i="9"/>
  <c r="AV86" i="9"/>
  <c r="AW86" i="9" s="1"/>
  <c r="AB86" i="9"/>
  <c r="Z86" i="9"/>
  <c r="X86" i="9"/>
  <c r="W86" i="9"/>
  <c r="K86" i="9"/>
  <c r="L86" i="9" s="1"/>
  <c r="D86" i="9"/>
  <c r="E86" i="9" s="1"/>
  <c r="AW85" i="9"/>
  <c r="AV85" i="9"/>
  <c r="AC85" i="9"/>
  <c r="Z85" i="9"/>
  <c r="W85" i="9"/>
  <c r="X85" i="9" s="1"/>
  <c r="L85" i="9"/>
  <c r="K85" i="9"/>
  <c r="D85" i="9"/>
  <c r="AW84" i="9"/>
  <c r="AV84" i="9"/>
  <c r="Z84" i="9"/>
  <c r="W84" i="9"/>
  <c r="X84" i="9" s="1"/>
  <c r="K84" i="9"/>
  <c r="L84" i="9" s="1"/>
  <c r="E84" i="9"/>
  <c r="D84" i="9"/>
  <c r="AC84" i="9" s="1"/>
  <c r="AW83" i="9"/>
  <c r="AV83" i="9"/>
  <c r="AC83" i="9"/>
  <c r="AB83" i="9"/>
  <c r="Z83" i="9"/>
  <c r="W83" i="9"/>
  <c r="X83" i="9" s="1"/>
  <c r="K83" i="9"/>
  <c r="L83" i="9" s="1"/>
  <c r="D83" i="9"/>
  <c r="AV82" i="9"/>
  <c r="AW82" i="9" s="1"/>
  <c r="AB82" i="9"/>
  <c r="Z82" i="9"/>
  <c r="X82" i="9"/>
  <c r="W82" i="9"/>
  <c r="K82" i="9"/>
  <c r="L82" i="9" s="1"/>
  <c r="D82" i="9"/>
  <c r="E82" i="9" s="1"/>
  <c r="AW81" i="9"/>
  <c r="AV81" i="9"/>
  <c r="Z81" i="9"/>
  <c r="W81" i="9"/>
  <c r="X81" i="9" s="1"/>
  <c r="L81" i="9"/>
  <c r="K81" i="9"/>
  <c r="D81" i="9"/>
  <c r="AW80" i="9"/>
  <c r="AV80" i="9"/>
  <c r="AF80" i="9"/>
  <c r="AE80" i="9"/>
  <c r="AD80" i="9"/>
  <c r="AC80" i="9"/>
  <c r="AB80" i="9"/>
  <c r="Z80" i="9"/>
  <c r="W80" i="9"/>
  <c r="X80" i="9" s="1"/>
  <c r="K80" i="9"/>
  <c r="L80" i="9" s="1"/>
  <c r="E80" i="9"/>
  <c r="D80" i="9"/>
  <c r="AW79" i="9"/>
  <c r="AV79" i="9"/>
  <c r="Z79" i="9"/>
  <c r="W79" i="9"/>
  <c r="X79" i="9" s="1"/>
  <c r="K79" i="9"/>
  <c r="L79" i="9" s="1"/>
  <c r="D79" i="9"/>
  <c r="AV78" i="9"/>
  <c r="AW78" i="9" s="1"/>
  <c r="AB78" i="9"/>
  <c r="Z78" i="9"/>
  <c r="X78" i="9"/>
  <c r="W78" i="9"/>
  <c r="K78" i="9"/>
  <c r="L78" i="9" s="1"/>
  <c r="D78" i="9"/>
  <c r="AW77" i="9"/>
  <c r="AV77" i="9"/>
  <c r="AC77" i="9"/>
  <c r="Z77" i="9"/>
  <c r="X77" i="9"/>
  <c r="W77" i="9"/>
  <c r="L77" i="9"/>
  <c r="K77" i="9"/>
  <c r="D77" i="9"/>
  <c r="AW76" i="9"/>
  <c r="AV76" i="9"/>
  <c r="Z76" i="9"/>
  <c r="W76" i="9"/>
  <c r="X76" i="9" s="1"/>
  <c r="K76" i="9"/>
  <c r="L76" i="9" s="1"/>
  <c r="E76" i="9"/>
  <c r="D76" i="9"/>
  <c r="AC76" i="9" s="1"/>
  <c r="AW75" i="9"/>
  <c r="AV75" i="9"/>
  <c r="AC75" i="9"/>
  <c r="AB75" i="9"/>
  <c r="Z75" i="9"/>
  <c r="W75" i="9"/>
  <c r="X75" i="9" s="1"/>
  <c r="K75" i="9"/>
  <c r="L75" i="9" s="1"/>
  <c r="E75" i="9"/>
  <c r="D75" i="9"/>
  <c r="AW74" i="9"/>
  <c r="AV74" i="9"/>
  <c r="Z74" i="9"/>
  <c r="W74" i="9"/>
  <c r="X74" i="9" s="1"/>
  <c r="K74" i="9"/>
  <c r="L74" i="9" s="1"/>
  <c r="D74" i="9"/>
  <c r="AW73" i="9"/>
  <c r="AV73" i="9"/>
  <c r="Z73" i="9"/>
  <c r="W73" i="9"/>
  <c r="X73" i="9" s="1"/>
  <c r="L73" i="9"/>
  <c r="K73" i="9"/>
  <c r="D73" i="9"/>
  <c r="AW72" i="9"/>
  <c r="AV72" i="9"/>
  <c r="AF72" i="9"/>
  <c r="AM72" i="9" s="1"/>
  <c r="AC72" i="9"/>
  <c r="AD72" i="9" s="1"/>
  <c r="Z72" i="9"/>
  <c r="W72" i="9"/>
  <c r="X72" i="9" s="1"/>
  <c r="K72" i="9"/>
  <c r="L72" i="9" s="1"/>
  <c r="D72" i="9"/>
  <c r="AB72" i="9" s="1"/>
  <c r="AE72" i="9" s="1"/>
  <c r="AV71" i="9"/>
  <c r="AW71" i="9" s="1"/>
  <c r="AC71" i="9"/>
  <c r="AB71" i="9"/>
  <c r="Z71" i="9"/>
  <c r="W71" i="9"/>
  <c r="X71" i="9" s="1"/>
  <c r="K71" i="9"/>
  <c r="L71" i="9" s="1"/>
  <c r="D71" i="9"/>
  <c r="AW70" i="9"/>
  <c r="AV70" i="9"/>
  <c r="AC70" i="9"/>
  <c r="AD70" i="9" s="1"/>
  <c r="AB70" i="9"/>
  <c r="Z70" i="9"/>
  <c r="W70" i="9"/>
  <c r="X70" i="9" s="1"/>
  <c r="K70" i="9"/>
  <c r="L70" i="9" s="1"/>
  <c r="D70" i="9"/>
  <c r="E70" i="9" s="1"/>
  <c r="AV69" i="9"/>
  <c r="AW69" i="9" s="1"/>
  <c r="AB69" i="9"/>
  <c r="Z69" i="9"/>
  <c r="W69" i="9"/>
  <c r="X69" i="9" s="1"/>
  <c r="K69" i="9"/>
  <c r="L69" i="9" s="1"/>
  <c r="D69" i="9"/>
  <c r="E69" i="9" s="1"/>
  <c r="AW68" i="9"/>
  <c r="AV68" i="9"/>
  <c r="AC68" i="9"/>
  <c r="Z68" i="9"/>
  <c r="X68" i="9"/>
  <c r="W68" i="9"/>
  <c r="K68" i="9"/>
  <c r="L68" i="9" s="1"/>
  <c r="D68" i="9"/>
  <c r="AW67" i="9"/>
  <c r="AV67" i="9"/>
  <c r="Z67" i="9"/>
  <c r="W67" i="9"/>
  <c r="X67" i="9" s="1"/>
  <c r="L67" i="9"/>
  <c r="K67" i="9"/>
  <c r="D67" i="9"/>
  <c r="AW66" i="9"/>
  <c r="AV66" i="9"/>
  <c r="AD66" i="9"/>
  <c r="AC66" i="9"/>
  <c r="Z66" i="9"/>
  <c r="W66" i="9"/>
  <c r="X66" i="9" s="1"/>
  <c r="K66" i="9"/>
  <c r="L66" i="9" s="1"/>
  <c r="E66" i="9"/>
  <c r="D66" i="9"/>
  <c r="AB66" i="9" s="1"/>
  <c r="AV65" i="9"/>
  <c r="AW65" i="9" s="1"/>
  <c r="AB65" i="9"/>
  <c r="Z65" i="9"/>
  <c r="W65" i="9"/>
  <c r="X65" i="9" s="1"/>
  <c r="K65" i="9"/>
  <c r="L65" i="9" s="1"/>
  <c r="D65" i="9"/>
  <c r="E65" i="9" s="1"/>
  <c r="AW64" i="9"/>
  <c r="AV64" i="9"/>
  <c r="Z64" i="9"/>
  <c r="W64" i="9"/>
  <c r="X64" i="9" s="1"/>
  <c r="K64" i="9"/>
  <c r="L64" i="9" s="1"/>
  <c r="D64" i="9"/>
  <c r="AC64" i="9" s="1"/>
  <c r="AW63" i="9"/>
  <c r="AV63" i="9"/>
  <c r="AC63" i="9"/>
  <c r="Z63" i="9"/>
  <c r="W63" i="9"/>
  <c r="X63" i="9" s="1"/>
  <c r="K63" i="9"/>
  <c r="L63" i="9" s="1"/>
  <c r="D63" i="9"/>
  <c r="AW62" i="9"/>
  <c r="AV62" i="9"/>
  <c r="Z62" i="9"/>
  <c r="W62" i="9"/>
  <c r="X62" i="9" s="1"/>
  <c r="K62" i="9"/>
  <c r="L62" i="9" s="1"/>
  <c r="D62" i="9"/>
  <c r="AV61" i="9"/>
  <c r="AW61" i="9" s="1"/>
  <c r="AE61" i="9"/>
  <c r="AC61" i="9"/>
  <c r="AB61" i="9"/>
  <c r="AF61" i="9" s="1"/>
  <c r="Z61" i="9"/>
  <c r="W61" i="9"/>
  <c r="X61" i="9" s="1"/>
  <c r="K61" i="9"/>
  <c r="L61" i="9" s="1"/>
  <c r="D61" i="9"/>
  <c r="E61" i="9" s="1"/>
  <c r="AW60" i="9"/>
  <c r="AV60" i="9"/>
  <c r="Z60" i="9"/>
  <c r="W60" i="9"/>
  <c r="X60" i="9" s="1"/>
  <c r="K60" i="9"/>
  <c r="L60" i="9" s="1"/>
  <c r="D60" i="9"/>
  <c r="AW59" i="9"/>
  <c r="AV59" i="9"/>
  <c r="AC59" i="9"/>
  <c r="Z59" i="9"/>
  <c r="W59" i="9"/>
  <c r="X59" i="9" s="1"/>
  <c r="K59" i="9"/>
  <c r="L59" i="9" s="1"/>
  <c r="D59" i="9"/>
  <c r="AW58" i="9"/>
  <c r="AV58" i="9"/>
  <c r="AC58" i="9"/>
  <c r="Z58" i="9"/>
  <c r="W58" i="9"/>
  <c r="X58" i="9" s="1"/>
  <c r="K58" i="9"/>
  <c r="L58" i="9" s="1"/>
  <c r="D58" i="9"/>
  <c r="AV57" i="9"/>
  <c r="AW57" i="9" s="1"/>
  <c r="AC57" i="9"/>
  <c r="AB57" i="9"/>
  <c r="Z57" i="9"/>
  <c r="W57" i="9"/>
  <c r="X57" i="9" s="1"/>
  <c r="K57" i="9"/>
  <c r="L57" i="9" s="1"/>
  <c r="D57" i="9"/>
  <c r="AW56" i="9"/>
  <c r="AV56" i="9"/>
  <c r="AE56" i="9"/>
  <c r="AC56" i="9"/>
  <c r="AB56" i="9"/>
  <c r="Z56" i="9"/>
  <c r="W56" i="9"/>
  <c r="X56" i="9" s="1"/>
  <c r="K56" i="9"/>
  <c r="L56" i="9" s="1"/>
  <c r="D56" i="9"/>
  <c r="E56" i="9" s="1"/>
  <c r="AW55" i="9"/>
  <c r="AV55" i="9"/>
  <c r="AC55" i="9"/>
  <c r="Z55" i="9"/>
  <c r="W55" i="9"/>
  <c r="X55" i="9" s="1"/>
  <c r="K55" i="9"/>
  <c r="L55" i="9" s="1"/>
  <c r="D55" i="9"/>
  <c r="AW54" i="9"/>
  <c r="AV54" i="9"/>
  <c r="Z54" i="9"/>
  <c r="X54" i="9"/>
  <c r="W54" i="9"/>
  <c r="L54" i="9"/>
  <c r="K54" i="9"/>
  <c r="D54" i="9"/>
  <c r="AV53" i="9"/>
  <c r="AW53" i="9" s="1"/>
  <c r="AB53" i="9"/>
  <c r="Z53" i="9"/>
  <c r="X53" i="9"/>
  <c r="W53" i="9"/>
  <c r="L53" i="9"/>
  <c r="K53" i="9"/>
  <c r="E53" i="9"/>
  <c r="D53" i="9"/>
  <c r="AC53" i="9" s="1"/>
  <c r="AF53" i="9" s="1"/>
  <c r="AV52" i="9"/>
  <c r="AW52" i="9" s="1"/>
  <c r="AB52" i="9"/>
  <c r="Z52" i="9"/>
  <c r="W52" i="9"/>
  <c r="X52" i="9" s="1"/>
  <c r="L52" i="9"/>
  <c r="K52" i="9"/>
  <c r="E52" i="9"/>
  <c r="D52" i="9"/>
  <c r="AC52" i="9" s="1"/>
  <c r="AV51" i="9"/>
  <c r="AW51" i="9" s="1"/>
  <c r="AB51" i="9"/>
  <c r="Z51" i="9"/>
  <c r="X51" i="9"/>
  <c r="W51" i="9"/>
  <c r="K51" i="9"/>
  <c r="L51" i="9" s="1"/>
  <c r="E51" i="9"/>
  <c r="D51" i="9"/>
  <c r="AV50" i="9"/>
  <c r="AW50" i="9" s="1"/>
  <c r="AF50" i="9"/>
  <c r="AC50" i="9"/>
  <c r="AB50" i="9"/>
  <c r="AE50" i="9" s="1"/>
  <c r="Z50" i="9"/>
  <c r="X50" i="9"/>
  <c r="W50" i="9"/>
  <c r="L50" i="9"/>
  <c r="K50" i="9"/>
  <c r="D50" i="9"/>
  <c r="AV49" i="9"/>
  <c r="AW49" i="9" s="1"/>
  <c r="AM49" i="9"/>
  <c r="AB49" i="9"/>
  <c r="AE49" i="9" s="1"/>
  <c r="Z49" i="9"/>
  <c r="X49" i="9"/>
  <c r="W49" i="9"/>
  <c r="L49" i="9"/>
  <c r="K49" i="9"/>
  <c r="E49" i="9"/>
  <c r="D49" i="9"/>
  <c r="AC49" i="9" s="1"/>
  <c r="AF49" i="9" s="1"/>
  <c r="AV48" i="9"/>
  <c r="AW48" i="9" s="1"/>
  <c r="AF48" i="9"/>
  <c r="AB48" i="9"/>
  <c r="Z48" i="9"/>
  <c r="W48" i="9"/>
  <c r="X48" i="9" s="1"/>
  <c r="L48" i="9"/>
  <c r="K48" i="9"/>
  <c r="E48" i="9"/>
  <c r="D48" i="9"/>
  <c r="AC48" i="9" s="1"/>
  <c r="AD48" i="9" s="1"/>
  <c r="AV47" i="9"/>
  <c r="AW47" i="9" s="1"/>
  <c r="AB47" i="9"/>
  <c r="Z47" i="9"/>
  <c r="X47" i="9"/>
  <c r="W47" i="9"/>
  <c r="K47" i="9"/>
  <c r="L47" i="9" s="1"/>
  <c r="E47" i="9"/>
  <c r="D47" i="9"/>
  <c r="AV46" i="9"/>
  <c r="AW46" i="9" s="1"/>
  <c r="Z46" i="9"/>
  <c r="X46" i="9"/>
  <c r="W46" i="9"/>
  <c r="L46" i="9"/>
  <c r="K46" i="9"/>
  <c r="D46" i="9"/>
  <c r="AV45" i="9"/>
  <c r="AW45" i="9" s="1"/>
  <c r="AF45" i="9"/>
  <c r="AD45" i="9"/>
  <c r="AC45" i="9"/>
  <c r="AB45" i="9"/>
  <c r="AE45" i="9" s="1"/>
  <c r="Z45" i="9"/>
  <c r="X45" i="9"/>
  <c r="W45" i="9"/>
  <c r="L45" i="9"/>
  <c r="K45" i="9"/>
  <c r="E45" i="9"/>
  <c r="D45" i="9"/>
  <c r="AV44" i="9"/>
  <c r="AW44" i="9" s="1"/>
  <c r="AD44" i="9"/>
  <c r="AB44" i="9"/>
  <c r="AE44" i="9" s="1"/>
  <c r="Z44" i="9"/>
  <c r="W44" i="9"/>
  <c r="X44" i="9" s="1"/>
  <c r="L44" i="9"/>
  <c r="K44" i="9"/>
  <c r="E44" i="9"/>
  <c r="D44" i="9"/>
  <c r="AC44" i="9" s="1"/>
  <c r="AV43" i="9"/>
  <c r="AW43" i="9" s="1"/>
  <c r="AC43" i="9"/>
  <c r="AB43" i="9"/>
  <c r="Z43" i="9"/>
  <c r="X43" i="9"/>
  <c r="W43" i="9"/>
  <c r="K43" i="9"/>
  <c r="L43" i="9" s="1"/>
  <c r="E43" i="9"/>
  <c r="D43" i="9"/>
  <c r="AV42" i="9"/>
  <c r="AW42" i="9" s="1"/>
  <c r="AF42" i="9"/>
  <c r="AC42" i="9"/>
  <c r="AB42" i="9"/>
  <c r="AE42" i="9" s="1"/>
  <c r="AI42" i="9" s="1"/>
  <c r="Z42" i="9"/>
  <c r="X42" i="9"/>
  <c r="W42" i="9"/>
  <c r="L42" i="9"/>
  <c r="K42" i="9"/>
  <c r="D42" i="9"/>
  <c r="AV41" i="9"/>
  <c r="AW41" i="9" s="1"/>
  <c r="AM41" i="9"/>
  <c r="AI41" i="9"/>
  <c r="AF41" i="9"/>
  <c r="AD41" i="9"/>
  <c r="AC41" i="9"/>
  <c r="AB41" i="9"/>
  <c r="AE41" i="9" s="1"/>
  <c r="AJ41" i="9" s="1"/>
  <c r="Z41" i="9"/>
  <c r="X41" i="9"/>
  <c r="W41" i="9"/>
  <c r="L41" i="9"/>
  <c r="K41" i="9"/>
  <c r="E41" i="9"/>
  <c r="D41" i="9"/>
  <c r="AV40" i="9"/>
  <c r="AW40" i="9" s="1"/>
  <c r="AK40" i="9"/>
  <c r="AF40" i="9"/>
  <c r="AM40" i="9" s="1"/>
  <c r="AC40" i="9"/>
  <c r="AB40" i="9"/>
  <c r="AE40" i="9" s="1"/>
  <c r="AH40" i="9" s="1"/>
  <c r="Z40" i="9"/>
  <c r="W40" i="9"/>
  <c r="X40" i="9" s="1"/>
  <c r="L40" i="9"/>
  <c r="K40" i="9"/>
  <c r="E40" i="9"/>
  <c r="D40" i="9"/>
  <c r="AV39" i="9"/>
  <c r="AW39" i="9" s="1"/>
  <c r="AB39" i="9"/>
  <c r="Z39" i="9"/>
  <c r="X39" i="9"/>
  <c r="W39" i="9"/>
  <c r="L39" i="9"/>
  <c r="K39" i="9"/>
  <c r="E39" i="9"/>
  <c r="D39" i="9"/>
  <c r="AV38" i="9"/>
  <c r="AW38" i="9" s="1"/>
  <c r="AC38" i="9"/>
  <c r="Z38" i="9"/>
  <c r="X38" i="9"/>
  <c r="W38" i="9"/>
  <c r="L38" i="9"/>
  <c r="K38" i="9"/>
  <c r="E38" i="9"/>
  <c r="D38" i="9"/>
  <c r="AV37" i="9"/>
  <c r="AW37" i="9" s="1"/>
  <c r="AC37" i="9"/>
  <c r="AB37" i="9"/>
  <c r="Z37" i="9"/>
  <c r="X37" i="9"/>
  <c r="W37" i="9"/>
  <c r="L37" i="9"/>
  <c r="K37" i="9"/>
  <c r="E37" i="9"/>
  <c r="D37" i="9"/>
  <c r="AW36" i="9"/>
  <c r="AV36" i="9"/>
  <c r="AB36" i="9"/>
  <c r="Z36" i="9"/>
  <c r="X36" i="9"/>
  <c r="W36" i="9"/>
  <c r="L36" i="9"/>
  <c r="K36" i="9"/>
  <c r="E36" i="9"/>
  <c r="D36" i="9"/>
  <c r="AC36" i="9" s="1"/>
  <c r="AD36" i="9" s="1"/>
  <c r="AW35" i="9"/>
  <c r="AV35" i="9"/>
  <c r="Z35" i="9"/>
  <c r="X35" i="9"/>
  <c r="W35" i="9"/>
  <c r="L35" i="9"/>
  <c r="K35" i="9"/>
  <c r="D35" i="9"/>
  <c r="AV34" i="9"/>
  <c r="AW34" i="9" s="1"/>
  <c r="AB34" i="9"/>
  <c r="Z34" i="9"/>
  <c r="X34" i="9"/>
  <c r="W34" i="9"/>
  <c r="L34" i="9"/>
  <c r="K34" i="9"/>
  <c r="E34" i="9"/>
  <c r="D34" i="9"/>
  <c r="AC34" i="9" s="1"/>
  <c r="AF34" i="9" s="1"/>
  <c r="AV33" i="9"/>
  <c r="AW33" i="9" s="1"/>
  <c r="AD33" i="9"/>
  <c r="AC33" i="9"/>
  <c r="AB33" i="9"/>
  <c r="AE33" i="9" s="1"/>
  <c r="Z33" i="9"/>
  <c r="W33" i="9"/>
  <c r="X33" i="9" s="1"/>
  <c r="L33" i="9"/>
  <c r="K33" i="9"/>
  <c r="E33" i="9"/>
  <c r="D33" i="9"/>
  <c r="AV32" i="9"/>
  <c r="AW32" i="9" s="1"/>
  <c r="AK32" i="9"/>
  <c r="AI32" i="9"/>
  <c r="AE32" i="9"/>
  <c r="AN32" i="9" s="1"/>
  <c r="AB32" i="9"/>
  <c r="AF32" i="9" s="1"/>
  <c r="Z32" i="9"/>
  <c r="X32" i="9"/>
  <c r="W32" i="9"/>
  <c r="L32" i="9"/>
  <c r="K32" i="9"/>
  <c r="E32" i="9"/>
  <c r="D32" i="9"/>
  <c r="AC32" i="9" s="1"/>
  <c r="AD32" i="9" s="1"/>
  <c r="AV31" i="9"/>
  <c r="AW31" i="9" s="1"/>
  <c r="Z31" i="9"/>
  <c r="X31" i="9"/>
  <c r="W31" i="9"/>
  <c r="L31" i="9"/>
  <c r="K31" i="9"/>
  <c r="D31" i="9"/>
  <c r="AV30" i="9"/>
  <c r="AW30" i="9" s="1"/>
  <c r="AM30" i="9"/>
  <c r="AK30" i="9"/>
  <c r="AF30" i="9"/>
  <c r="AB30" i="9"/>
  <c r="AE30" i="9" s="1"/>
  <c r="Z30" i="9"/>
  <c r="X30" i="9"/>
  <c r="W30" i="9"/>
  <c r="L30" i="9"/>
  <c r="K30" i="9"/>
  <c r="E30" i="9"/>
  <c r="D30" i="9"/>
  <c r="AC30" i="9" s="1"/>
  <c r="AD30" i="9" s="1"/>
  <c r="AV29" i="9"/>
  <c r="AW29" i="9" s="1"/>
  <c r="AB29" i="9"/>
  <c r="AE29" i="9" s="1"/>
  <c r="Z29" i="9"/>
  <c r="W29" i="9"/>
  <c r="X29" i="9" s="1"/>
  <c r="L29" i="9"/>
  <c r="K29" i="9"/>
  <c r="E29" i="9"/>
  <c r="D29" i="9"/>
  <c r="AC29" i="9" s="1"/>
  <c r="AD29" i="9" s="1"/>
  <c r="AV28" i="9"/>
  <c r="AW28" i="9" s="1"/>
  <c r="AB28" i="9"/>
  <c r="Z28" i="9"/>
  <c r="X28" i="9"/>
  <c r="W28" i="9"/>
  <c r="K28" i="9"/>
  <c r="L28" i="9" s="1"/>
  <c r="E28" i="9"/>
  <c r="D28" i="9"/>
  <c r="AV27" i="9"/>
  <c r="AW27" i="9" s="1"/>
  <c r="AC27" i="9"/>
  <c r="Z27" i="9"/>
  <c r="X27" i="9"/>
  <c r="W27" i="9"/>
  <c r="L27" i="9"/>
  <c r="K27" i="9"/>
  <c r="D27" i="9"/>
  <c r="AB27" i="9" s="1"/>
  <c r="AV26" i="9"/>
  <c r="AW26" i="9" s="1"/>
  <c r="AB26" i="9"/>
  <c r="Z26" i="9"/>
  <c r="X26" i="9"/>
  <c r="W26" i="9"/>
  <c r="L26" i="9"/>
  <c r="K26" i="9"/>
  <c r="E26" i="9"/>
  <c r="D26" i="9"/>
  <c r="AC26" i="9" s="1"/>
  <c r="AD26" i="9" s="1"/>
  <c r="AV25" i="9"/>
  <c r="AW25" i="9" s="1"/>
  <c r="AI25" i="9"/>
  <c r="AH25" i="9"/>
  <c r="AF25" i="9"/>
  <c r="AC25" i="9"/>
  <c r="AB25" i="9"/>
  <c r="AE25" i="9" s="1"/>
  <c r="AM25" i="9" s="1"/>
  <c r="Z25" i="9"/>
  <c r="W25" i="9"/>
  <c r="X25" i="9" s="1"/>
  <c r="L25" i="9"/>
  <c r="K25" i="9"/>
  <c r="E25" i="9"/>
  <c r="D25" i="9"/>
  <c r="AV24" i="9"/>
  <c r="AW24" i="9" s="1"/>
  <c r="AB24" i="9"/>
  <c r="Z24" i="9"/>
  <c r="X24" i="9"/>
  <c r="W24" i="9"/>
  <c r="K24" i="9"/>
  <c r="L24" i="9" s="1"/>
  <c r="E24" i="9"/>
  <c r="D24" i="9"/>
  <c r="AV23" i="9"/>
  <c r="AW23" i="9" s="1"/>
  <c r="AB23" i="9"/>
  <c r="Z23" i="9"/>
  <c r="W23" i="9"/>
  <c r="X23" i="9" s="1"/>
  <c r="L23" i="9"/>
  <c r="K23" i="9"/>
  <c r="E23" i="9"/>
  <c r="D23" i="9"/>
  <c r="AC23" i="9" s="1"/>
  <c r="AD23" i="9" s="1"/>
  <c r="AV22" i="9"/>
  <c r="AW22" i="9" s="1"/>
  <c r="AB22" i="9"/>
  <c r="Z22" i="9"/>
  <c r="W22" i="9"/>
  <c r="X22" i="9" s="1"/>
  <c r="K22" i="9"/>
  <c r="L22" i="9" s="1"/>
  <c r="D22" i="9"/>
  <c r="E22" i="9" s="1"/>
  <c r="AW21" i="9"/>
  <c r="AV21" i="9"/>
  <c r="AC21" i="9"/>
  <c r="Z21" i="9"/>
  <c r="X21" i="9"/>
  <c r="W21" i="9"/>
  <c r="K21" i="9"/>
  <c r="L21" i="9" s="1"/>
  <c r="E21" i="9"/>
  <c r="D21" i="9"/>
  <c r="AW20" i="9"/>
  <c r="AV20" i="9"/>
  <c r="Z20" i="9"/>
  <c r="W20" i="9"/>
  <c r="X20" i="9" s="1"/>
  <c r="L20" i="9"/>
  <c r="K20" i="9"/>
  <c r="D20" i="9"/>
  <c r="AC20" i="9" s="1"/>
  <c r="AV19" i="9"/>
  <c r="AW19" i="9" s="1"/>
  <c r="AD19" i="9"/>
  <c r="AC19" i="9"/>
  <c r="AB19" i="9"/>
  <c r="AF19" i="9" s="1"/>
  <c r="Z19" i="9"/>
  <c r="W19" i="9"/>
  <c r="X19" i="9" s="1"/>
  <c r="K19" i="9"/>
  <c r="L19" i="9" s="1"/>
  <c r="E19" i="9"/>
  <c r="D19" i="9"/>
  <c r="AV18" i="9"/>
  <c r="AW18" i="9" s="1"/>
  <c r="AB18" i="9"/>
  <c r="Z18" i="9"/>
  <c r="W18" i="9"/>
  <c r="X18" i="9" s="1"/>
  <c r="L18" i="9"/>
  <c r="K18" i="9"/>
  <c r="D18" i="9"/>
  <c r="E18" i="9" s="1"/>
  <c r="AW17" i="9"/>
  <c r="AV17" i="9"/>
  <c r="Z17" i="9"/>
  <c r="X17" i="9"/>
  <c r="W17" i="9"/>
  <c r="K17" i="9"/>
  <c r="L17" i="9" s="1"/>
  <c r="D17" i="9"/>
  <c r="AC17" i="9" s="1"/>
  <c r="AW16" i="9"/>
  <c r="AV16" i="9"/>
  <c r="AV11" i="9" s="1"/>
  <c r="Z16" i="9"/>
  <c r="W16" i="9"/>
  <c r="X16" i="9" s="1"/>
  <c r="L16" i="9"/>
  <c r="K16" i="9"/>
  <c r="D16" i="9"/>
  <c r="AV15" i="9"/>
  <c r="AW15" i="9" s="1"/>
  <c r="AB15" i="9"/>
  <c r="AF15" i="9" s="1"/>
  <c r="Z15" i="9"/>
  <c r="Z11" i="9" s="1"/>
  <c r="W15" i="9"/>
  <c r="X15" i="9" s="1"/>
  <c r="K15" i="9"/>
  <c r="L15" i="9" s="1"/>
  <c r="E15" i="9"/>
  <c r="D15" i="9"/>
  <c r="AC15" i="9" s="1"/>
  <c r="AD15" i="9" s="1"/>
  <c r="AV14" i="9"/>
  <c r="AW14" i="9" s="1"/>
  <c r="AB14" i="9"/>
  <c r="Z14" i="9"/>
  <c r="W14" i="9"/>
  <c r="L14" i="9"/>
  <c r="K14" i="9"/>
  <c r="D14" i="9"/>
  <c r="E14" i="9" s="1"/>
  <c r="AW13" i="9"/>
  <c r="AV13" i="9"/>
  <c r="Z13" i="9"/>
  <c r="X13" i="9"/>
  <c r="W13" i="9"/>
  <c r="K13" i="9"/>
  <c r="L13" i="9" s="1"/>
  <c r="L11" i="9" s="1"/>
  <c r="E13" i="9"/>
  <c r="D13" i="9"/>
  <c r="BC11" i="9"/>
  <c r="AU11" i="9"/>
  <c r="V11" i="9"/>
  <c r="U11" i="9"/>
  <c r="T11" i="9"/>
  <c r="S11" i="9"/>
  <c r="R11" i="9"/>
  <c r="Q11" i="9"/>
  <c r="P11" i="9"/>
  <c r="O11" i="9"/>
  <c r="N11" i="9"/>
  <c r="M11" i="9"/>
  <c r="J11" i="9"/>
  <c r="I11" i="9"/>
  <c r="H11" i="9"/>
  <c r="G11" i="9"/>
  <c r="F11" i="9"/>
  <c r="A11" i="9"/>
  <c r="X11" i="9" l="1"/>
  <c r="AE27" i="9"/>
  <c r="AH27" i="9" s="1"/>
  <c r="AF27" i="9"/>
  <c r="AD27" i="9"/>
  <c r="K11" i="9"/>
  <c r="AW11" i="9"/>
  <c r="E16" i="9"/>
  <c r="AB31" i="9"/>
  <c r="D11" i="9"/>
  <c r="D97" i="9"/>
  <c r="AB13" i="9"/>
  <c r="E17" i="9"/>
  <c r="E31" i="9"/>
  <c r="AE36" i="9"/>
  <c r="AF36" i="9"/>
  <c r="AE78" i="9"/>
  <c r="E20" i="9"/>
  <c r="E46" i="9"/>
  <c r="AC46" i="9"/>
  <c r="AB46" i="9"/>
  <c r="E74" i="9"/>
  <c r="AB74" i="9"/>
  <c r="AC74" i="9"/>
  <c r="AM61" i="9"/>
  <c r="AL61" i="9"/>
  <c r="AI61" i="9"/>
  <c r="AN61" i="9"/>
  <c r="AH61" i="9"/>
  <c r="AK61" i="9"/>
  <c r="AJ61" i="9"/>
  <c r="AE23" i="9"/>
  <c r="AF23" i="9"/>
  <c r="E27" i="9"/>
  <c r="AB16" i="9"/>
  <c r="AH23" i="9"/>
  <c r="AB73" i="9"/>
  <c r="E73" i="9"/>
  <c r="AC73" i="9"/>
  <c r="AD73" i="9" s="1"/>
  <c r="AC16" i="9"/>
  <c r="AM33" i="9"/>
  <c r="E35" i="9"/>
  <c r="AC35" i="9"/>
  <c r="AB35" i="9"/>
  <c r="AN45" i="9"/>
  <c r="AL45" i="9"/>
  <c r="AK45" i="9"/>
  <c r="AJ45" i="9"/>
  <c r="AI45" i="9"/>
  <c r="AM45" i="9"/>
  <c r="E60" i="9"/>
  <c r="AB60" i="9"/>
  <c r="AC60" i="9"/>
  <c r="AD60" i="9" s="1"/>
  <c r="AC13" i="9"/>
  <c r="AD13" i="9" s="1"/>
  <c r="W11" i="9"/>
  <c r="X14" i="9"/>
  <c r="AB20" i="9"/>
  <c r="AB21" i="9"/>
  <c r="AC31" i="9"/>
  <c r="AD31" i="9" s="1"/>
  <c r="AH42" i="9"/>
  <c r="E42" i="9"/>
  <c r="E54" i="9"/>
  <c r="AC54" i="9"/>
  <c r="AD54" i="9" s="1"/>
  <c r="AB54" i="9"/>
  <c r="AB17" i="9"/>
  <c r="AI80" i="9"/>
  <c r="AH80" i="9"/>
  <c r="AM80" i="9"/>
  <c r="AL80" i="9"/>
  <c r="AK80" i="9"/>
  <c r="AJ80" i="9"/>
  <c r="AN80" i="9"/>
  <c r="AK25" i="9"/>
  <c r="AN30" i="9"/>
  <c r="AL30" i="9"/>
  <c r="AM32" i="9"/>
  <c r="AF33" i="9"/>
  <c r="AH33" i="9" s="1"/>
  <c r="AN50" i="9"/>
  <c r="AM50" i="9"/>
  <c r="AJ50" i="9"/>
  <c r="AI50" i="9"/>
  <c r="AD53" i="9"/>
  <c r="AD91" i="9"/>
  <c r="E95" i="9"/>
  <c r="AC95" i="9"/>
  <c r="AB95" i="9"/>
  <c r="AF57" i="9"/>
  <c r="AE57" i="9"/>
  <c r="AE26" i="9"/>
  <c r="AH26" i="9" s="1"/>
  <c r="AE34" i="9"/>
  <c r="AE37" i="9"/>
  <c r="AD37" i="9"/>
  <c r="AB38" i="9"/>
  <c r="AD38" i="9" s="1"/>
  <c r="AI40" i="9"/>
  <c r="AO40" i="9" s="1"/>
  <c r="AQ40" i="9" s="1"/>
  <c r="AB62" i="9"/>
  <c r="AC62" i="9"/>
  <c r="AD62" i="9" s="1"/>
  <c r="E62" i="9"/>
  <c r="AD71" i="9"/>
  <c r="AE71" i="9"/>
  <c r="AF71" i="9"/>
  <c r="AK33" i="9"/>
  <c r="AD34" i="9"/>
  <c r="AE52" i="9"/>
  <c r="AF52" i="9"/>
  <c r="AL29" i="9"/>
  <c r="AJ29" i="9"/>
  <c r="AH50" i="9"/>
  <c r="E50" i="9"/>
  <c r="AC14" i="9"/>
  <c r="AE15" i="9"/>
  <c r="AC18" i="9"/>
  <c r="AE19" i="9"/>
  <c r="AC22" i="9"/>
  <c r="AF26" i="9"/>
  <c r="AI30" i="9"/>
  <c r="AF37" i="9"/>
  <c r="AF43" i="9"/>
  <c r="AE43" i="9"/>
  <c r="AD43" i="9"/>
  <c r="AN49" i="9"/>
  <c r="AL49" i="9"/>
  <c r="AK49" i="9"/>
  <c r="AJ49" i="9"/>
  <c r="AK50" i="9"/>
  <c r="AD52" i="9"/>
  <c r="AL72" i="9"/>
  <c r="AL25" i="9"/>
  <c r="AJ25" i="9"/>
  <c r="AO25" i="9" s="1"/>
  <c r="AQ25" i="9" s="1"/>
  <c r="AN25" i="9"/>
  <c r="AD25" i="9"/>
  <c r="AF29" i="9"/>
  <c r="AJ30" i="9"/>
  <c r="AI49" i="9"/>
  <c r="AL50" i="9"/>
  <c r="AJ32" i="9"/>
  <c r="AH32" i="9"/>
  <c r="AL32" i="9"/>
  <c r="AI33" i="9"/>
  <c r="AN33" i="9"/>
  <c r="AN42" i="9"/>
  <c r="AM42" i="9"/>
  <c r="AJ42" i="9"/>
  <c r="AL42" i="9"/>
  <c r="AK42" i="9"/>
  <c r="AE48" i="9"/>
  <c r="AF51" i="9"/>
  <c r="AB67" i="9"/>
  <c r="E67" i="9"/>
  <c r="AC67" i="9"/>
  <c r="AD77" i="9"/>
  <c r="AC24" i="9"/>
  <c r="AC28" i="9"/>
  <c r="AH30" i="9"/>
  <c r="AO30" i="9" s="1"/>
  <c r="AQ30" i="9" s="1"/>
  <c r="AH34" i="9"/>
  <c r="AD42" i="9"/>
  <c r="AH45" i="9"/>
  <c r="AB58" i="9"/>
  <c r="AD58" i="9" s="1"/>
  <c r="E58" i="9"/>
  <c r="AH71" i="9"/>
  <c r="E71" i="9"/>
  <c r="AF75" i="9"/>
  <c r="AE75" i="9"/>
  <c r="AF87" i="9"/>
  <c r="AE87" i="9"/>
  <c r="AD87" i="9"/>
  <c r="AN41" i="9"/>
  <c r="AL41" i="9"/>
  <c r="AK41" i="9"/>
  <c r="AH43" i="9"/>
  <c r="AD49" i="9"/>
  <c r="AD57" i="9"/>
  <c r="AB63" i="9"/>
  <c r="AD63" i="9" s="1"/>
  <c r="E63" i="9"/>
  <c r="AB79" i="9"/>
  <c r="E79" i="9"/>
  <c r="AC79" i="9"/>
  <c r="E87" i="9"/>
  <c r="AH87" i="9"/>
  <c r="AL40" i="9"/>
  <c r="AJ40" i="9"/>
  <c r="AN40" i="9"/>
  <c r="AH41" i="9"/>
  <c r="AO41" i="9" s="1"/>
  <c r="AQ41" i="9" s="1"/>
  <c r="AE53" i="9"/>
  <c r="AK72" i="9"/>
  <c r="AN72" i="9"/>
  <c r="AJ72" i="9"/>
  <c r="AI72" i="9"/>
  <c r="E78" i="9"/>
  <c r="AC78" i="9"/>
  <c r="AD78" i="9" s="1"/>
  <c r="AE83" i="9"/>
  <c r="AD83" i="9"/>
  <c r="AD40" i="9"/>
  <c r="AF44" i="9"/>
  <c r="AD50" i="9"/>
  <c r="AM56" i="9"/>
  <c r="AL56" i="9"/>
  <c r="E57" i="9"/>
  <c r="AH57" i="9"/>
  <c r="AB81" i="9"/>
  <c r="E81" i="9"/>
  <c r="AC81" i="9"/>
  <c r="AD81" i="9" s="1"/>
  <c r="AC39" i="9"/>
  <c r="AC47" i="9"/>
  <c r="AH49" i="9"/>
  <c r="AO49" i="9" s="1"/>
  <c r="AQ49" i="9" s="1"/>
  <c r="AC51" i="9"/>
  <c r="AH53" i="9"/>
  <c r="AH56" i="9"/>
  <c r="AB85" i="9"/>
  <c r="E85" i="9"/>
  <c r="AD59" i="9"/>
  <c r="E64" i="9"/>
  <c r="AB64" i="9"/>
  <c r="AD64" i="9" s="1"/>
  <c r="AD75" i="9"/>
  <c r="E91" i="9"/>
  <c r="AB91" i="9"/>
  <c r="AB93" i="9"/>
  <c r="E93" i="9"/>
  <c r="AC93" i="9"/>
  <c r="AB55" i="9"/>
  <c r="AD55" i="9" s="1"/>
  <c r="E55" i="9"/>
  <c r="AF66" i="9"/>
  <c r="AE66" i="9"/>
  <c r="AF69" i="9"/>
  <c r="AF70" i="9"/>
  <c r="E83" i="9"/>
  <c r="AH83" i="9"/>
  <c r="AD56" i="9"/>
  <c r="AF56" i="9"/>
  <c r="AN56" i="9" s="1"/>
  <c r="AB59" i="9"/>
  <c r="E59" i="9"/>
  <c r="AD61" i="9"/>
  <c r="E68" i="9"/>
  <c r="AB68" i="9"/>
  <c r="AC65" i="9"/>
  <c r="AC69" i="9"/>
  <c r="AE70" i="9"/>
  <c r="AB77" i="9"/>
  <c r="E77" i="9"/>
  <c r="AF82" i="9"/>
  <c r="AM90" i="9"/>
  <c r="AL90" i="9"/>
  <c r="AK90" i="9"/>
  <c r="AI90" i="9"/>
  <c r="E72" i="9"/>
  <c r="AJ90" i="9"/>
  <c r="AH72" i="9"/>
  <c r="AF83" i="9"/>
  <c r="AE94" i="9"/>
  <c r="AB76" i="9"/>
  <c r="AD76" i="9" s="1"/>
  <c r="AB84" i="9"/>
  <c r="AD84" i="9" s="1"/>
  <c r="AB88" i="9"/>
  <c r="AB92" i="9"/>
  <c r="AB96" i="9"/>
  <c r="AC88" i="9"/>
  <c r="AD88" i="9" s="1"/>
  <c r="AE89" i="9"/>
  <c r="AH90" i="9"/>
  <c r="AO90" i="9" s="1"/>
  <c r="AQ90" i="9" s="1"/>
  <c r="AC92" i="9"/>
  <c r="AD92" i="9" s="1"/>
  <c r="AC96" i="9"/>
  <c r="AD96" i="9" s="1"/>
  <c r="AC82" i="9"/>
  <c r="AC86" i="9"/>
  <c r="AZ25" i="9" l="1"/>
  <c r="AR25" i="9"/>
  <c r="AS25" i="9" s="1"/>
  <c r="BG25" i="9"/>
  <c r="BE25" i="9"/>
  <c r="BF25" i="9" s="1"/>
  <c r="AY25" i="9"/>
  <c r="AZ40" i="9"/>
  <c r="AR40" i="9"/>
  <c r="AS40" i="9" s="1"/>
  <c r="BG40" i="9"/>
  <c r="AY40" i="9"/>
  <c r="BE40" i="9"/>
  <c r="BF40" i="9" s="1"/>
  <c r="AY90" i="9"/>
  <c r="BG90" i="9"/>
  <c r="AR90" i="9"/>
  <c r="AS90" i="9" s="1"/>
  <c r="BE90" i="9"/>
  <c r="BF90" i="9" s="1"/>
  <c r="AZ90" i="9"/>
  <c r="AM44" i="9"/>
  <c r="AH44" i="9"/>
  <c r="AL44" i="9"/>
  <c r="AD69" i="9"/>
  <c r="AE69" i="9"/>
  <c r="AE16" i="9"/>
  <c r="AF16" i="9"/>
  <c r="AD65" i="9"/>
  <c r="AE65" i="9"/>
  <c r="AE39" i="9"/>
  <c r="AF39" i="9"/>
  <c r="AD39" i="9"/>
  <c r="AE28" i="9"/>
  <c r="AD28" i="9"/>
  <c r="AF28" i="9"/>
  <c r="AJ43" i="9"/>
  <c r="AL43" i="9"/>
  <c r="AK43" i="9"/>
  <c r="AN43" i="9"/>
  <c r="AI43" i="9"/>
  <c r="AM43" i="9"/>
  <c r="AF95" i="9"/>
  <c r="AE95" i="9"/>
  <c r="AF17" i="9"/>
  <c r="AE17" i="9"/>
  <c r="AD16" i="9"/>
  <c r="AN83" i="9"/>
  <c r="AM83" i="9"/>
  <c r="AK83" i="9"/>
  <c r="AJ83" i="9"/>
  <c r="AO83" i="9" s="1"/>
  <c r="AQ83" i="9" s="1"/>
  <c r="AI83" i="9"/>
  <c r="AL83" i="9"/>
  <c r="AL48" i="9"/>
  <c r="AJ48" i="9"/>
  <c r="AI48" i="9"/>
  <c r="AN48" i="9"/>
  <c r="AM48" i="9"/>
  <c r="AK48" i="9"/>
  <c r="AH48" i="9"/>
  <c r="AJ33" i="9"/>
  <c r="AO33" i="9" s="1"/>
  <c r="AQ33" i="9" s="1"/>
  <c r="AD14" i="9"/>
  <c r="AF14" i="9"/>
  <c r="AE14" i="9"/>
  <c r="AL52" i="9"/>
  <c r="AJ52" i="9"/>
  <c r="AI52" i="9"/>
  <c r="AN52" i="9"/>
  <c r="AM52" i="9"/>
  <c r="AH52" i="9"/>
  <c r="AK52" i="9"/>
  <c r="AN34" i="9"/>
  <c r="AL34" i="9"/>
  <c r="AK34" i="9"/>
  <c r="AJ34" i="9"/>
  <c r="AI34" i="9"/>
  <c r="AM34" i="9"/>
  <c r="AD95" i="9"/>
  <c r="AD46" i="9"/>
  <c r="AZ49" i="9"/>
  <c r="BG49" i="9"/>
  <c r="AY49" i="9"/>
  <c r="BE49" i="9"/>
  <c r="BF49" i="9" s="1"/>
  <c r="AR49" i="9"/>
  <c r="AS49" i="9" s="1"/>
  <c r="AK89" i="9"/>
  <c r="AJ89" i="9"/>
  <c r="AI89" i="9"/>
  <c r="AN89" i="9"/>
  <c r="AM89" i="9"/>
  <c r="AL89" i="9"/>
  <c r="AZ41" i="9"/>
  <c r="AY41" i="9"/>
  <c r="AR41" i="9"/>
  <c r="AS41" i="9" s="1"/>
  <c r="BG41" i="9"/>
  <c r="BE41" i="9"/>
  <c r="BF41" i="9" s="1"/>
  <c r="AF79" i="9"/>
  <c r="AE79" i="9"/>
  <c r="AN15" i="9"/>
  <c r="AL15" i="9"/>
  <c r="AK15" i="9"/>
  <c r="AM15" i="9"/>
  <c r="AJ15" i="9"/>
  <c r="AI15" i="9"/>
  <c r="AH15" i="9"/>
  <c r="AN37" i="9"/>
  <c r="AL37" i="9"/>
  <c r="AI37" i="9"/>
  <c r="AK37" i="9"/>
  <c r="AM37" i="9"/>
  <c r="AJ37" i="9"/>
  <c r="AE46" i="9"/>
  <c r="AF46" i="9"/>
  <c r="AF78" i="9"/>
  <c r="AL78" i="9" s="1"/>
  <c r="AD86" i="9"/>
  <c r="AE86" i="9"/>
  <c r="AJ56" i="9"/>
  <c r="AI56" i="9"/>
  <c r="AF91" i="9"/>
  <c r="AE91" i="9"/>
  <c r="AD82" i="9"/>
  <c r="AE82" i="9"/>
  <c r="AF86" i="9"/>
  <c r="AH89" i="9"/>
  <c r="AF85" i="9"/>
  <c r="AE85" i="9"/>
  <c r="AK56" i="9"/>
  <c r="AN53" i="9"/>
  <c r="AL53" i="9"/>
  <c r="AK53" i="9"/>
  <c r="AJ53" i="9"/>
  <c r="AO53" i="9" s="1"/>
  <c r="AQ53" i="9" s="1"/>
  <c r="AM53" i="9"/>
  <c r="AI53" i="9"/>
  <c r="AF24" i="9"/>
  <c r="AE24" i="9"/>
  <c r="AD24" i="9"/>
  <c r="AL33" i="9"/>
  <c r="AK29" i="9"/>
  <c r="AI29" i="9"/>
  <c r="AH29" i="9"/>
  <c r="AF62" i="9"/>
  <c r="AE62" i="9"/>
  <c r="AK44" i="9"/>
  <c r="AE54" i="9"/>
  <c r="AF54" i="9"/>
  <c r="AF60" i="9"/>
  <c r="AE60" i="9"/>
  <c r="AE31" i="9"/>
  <c r="AF31" i="9"/>
  <c r="AF84" i="9"/>
  <c r="AE84" i="9"/>
  <c r="AF93" i="9"/>
  <c r="AE93" i="9"/>
  <c r="AF67" i="9"/>
  <c r="AE67" i="9"/>
  <c r="AM94" i="9"/>
  <c r="AL94" i="9"/>
  <c r="AK94" i="9"/>
  <c r="AI94" i="9"/>
  <c r="AN94" i="9"/>
  <c r="AJ94" i="9"/>
  <c r="AN44" i="9"/>
  <c r="AF21" i="9"/>
  <c r="AE21" i="9"/>
  <c r="AD21" i="9"/>
  <c r="AE76" i="9"/>
  <c r="AF76" i="9"/>
  <c r="AI66" i="9"/>
  <c r="AN66" i="9"/>
  <c r="AK66" i="9"/>
  <c r="AM66" i="9"/>
  <c r="AJ66" i="9"/>
  <c r="AH66" i="9"/>
  <c r="AL66" i="9"/>
  <c r="AZ30" i="9"/>
  <c r="BE30" i="9"/>
  <c r="BF30" i="9" s="1"/>
  <c r="AY30" i="9"/>
  <c r="AR30" i="9"/>
  <c r="AS30" i="9" s="1"/>
  <c r="BG30" i="9"/>
  <c r="AO42" i="9"/>
  <c r="AQ42" i="9" s="1"/>
  <c r="AK78" i="9"/>
  <c r="AO72" i="9"/>
  <c r="AQ72" i="9" s="1"/>
  <c r="AF68" i="9"/>
  <c r="AE68" i="9"/>
  <c r="AO56" i="9"/>
  <c r="AQ56" i="9" s="1"/>
  <c r="AE63" i="9"/>
  <c r="AF63" i="9"/>
  <c r="AN87" i="9"/>
  <c r="AM87" i="9"/>
  <c r="AK87" i="9"/>
  <c r="AO87" i="9" s="1"/>
  <c r="AQ87" i="9" s="1"/>
  <c r="AJ87" i="9"/>
  <c r="AI87" i="9"/>
  <c r="AL87" i="9"/>
  <c r="AO50" i="9"/>
  <c r="AQ50" i="9" s="1"/>
  <c r="AN26" i="9"/>
  <c r="AL26" i="9"/>
  <c r="AI26" i="9"/>
  <c r="AO26" i="9" s="1"/>
  <c r="AQ26" i="9" s="1"/>
  <c r="AM26" i="9"/>
  <c r="AK26" i="9"/>
  <c r="AJ26" i="9"/>
  <c r="AN23" i="9"/>
  <c r="AJ23" i="9"/>
  <c r="AL23" i="9"/>
  <c r="AK23" i="9"/>
  <c r="AI23" i="9"/>
  <c r="AM23" i="9"/>
  <c r="AN36" i="9"/>
  <c r="AK36" i="9"/>
  <c r="AI36" i="9"/>
  <c r="AH36" i="9"/>
  <c r="AM36" i="9"/>
  <c r="AL36" i="9"/>
  <c r="AJ36" i="9"/>
  <c r="AN27" i="9"/>
  <c r="AJ27" i="9"/>
  <c r="AL27" i="9"/>
  <c r="AK27" i="9"/>
  <c r="AI27" i="9"/>
  <c r="AO27" i="9" s="1"/>
  <c r="AQ27" i="9" s="1"/>
  <c r="AM27" i="9"/>
  <c r="AH94" i="9"/>
  <c r="AO94" i="9" s="1"/>
  <c r="AQ94" i="9" s="1"/>
  <c r="AF92" i="9"/>
  <c r="AE92" i="9"/>
  <c r="AD68" i="9"/>
  <c r="AF81" i="9"/>
  <c r="AE81" i="9"/>
  <c r="AI44" i="9"/>
  <c r="AO45" i="9"/>
  <c r="AQ45" i="9" s="1"/>
  <c r="AD67" i="9"/>
  <c r="AO32" i="9"/>
  <c r="AQ32" i="9" s="1"/>
  <c r="AH37" i="9"/>
  <c r="AM57" i="9"/>
  <c r="AL57" i="9"/>
  <c r="AI57" i="9"/>
  <c r="AK57" i="9"/>
  <c r="AJ57" i="9"/>
  <c r="AO57" i="9" s="1"/>
  <c r="AQ57" i="9" s="1"/>
  <c r="AN57" i="9"/>
  <c r="AD85" i="9"/>
  <c r="AF20" i="9"/>
  <c r="AE20" i="9"/>
  <c r="AD35" i="9"/>
  <c r="AM29" i="9"/>
  <c r="AD17" i="9"/>
  <c r="AD47" i="9"/>
  <c r="AE47" i="9"/>
  <c r="AD18" i="9"/>
  <c r="AF18" i="9"/>
  <c r="AE18" i="9"/>
  <c r="AF13" i="9"/>
  <c r="AE13" i="9"/>
  <c r="AE59" i="9"/>
  <c r="AF59" i="9"/>
  <c r="AF96" i="9"/>
  <c r="AE96" i="9"/>
  <c r="AF55" i="9"/>
  <c r="AE55" i="9"/>
  <c r="AF58" i="9"/>
  <c r="AE58" i="9"/>
  <c r="AF47" i="9"/>
  <c r="AE35" i="9"/>
  <c r="AF35" i="9"/>
  <c r="AF88" i="9"/>
  <c r="AE88" i="9"/>
  <c r="AF77" i="9"/>
  <c r="AE77" i="9"/>
  <c r="AD93" i="9"/>
  <c r="AF64" i="9"/>
  <c r="AE64" i="9"/>
  <c r="AD51" i="9"/>
  <c r="AE51" i="9"/>
  <c r="AF65" i="9"/>
  <c r="AJ44" i="9"/>
  <c r="AD79" i="9"/>
  <c r="AJ75" i="9"/>
  <c r="AI75" i="9"/>
  <c r="AK75" i="9"/>
  <c r="AM75" i="9"/>
  <c r="AN75" i="9"/>
  <c r="AH75" i="9"/>
  <c r="AL75" i="9"/>
  <c r="AD22" i="9"/>
  <c r="AF22" i="9"/>
  <c r="AE22" i="9"/>
  <c r="AN29" i="9"/>
  <c r="AK71" i="9"/>
  <c r="AI71" i="9"/>
  <c r="AM71" i="9"/>
  <c r="AN71" i="9"/>
  <c r="AL71" i="9"/>
  <c r="AJ71" i="9"/>
  <c r="AO71" i="9" s="1"/>
  <c r="AQ71" i="9" s="1"/>
  <c r="AE38" i="9"/>
  <c r="AF38" i="9"/>
  <c r="AO80" i="9"/>
  <c r="AQ80" i="9" s="1"/>
  <c r="AE73" i="9"/>
  <c r="AF73" i="9"/>
  <c r="AD74" i="9"/>
  <c r="E11" i="9"/>
  <c r="AD20" i="9"/>
  <c r="AI70" i="9"/>
  <c r="AN70" i="9"/>
  <c r="AK70" i="9"/>
  <c r="AJ70" i="9"/>
  <c r="AM70" i="9"/>
  <c r="AL70" i="9"/>
  <c r="AH70" i="9"/>
  <c r="AO43" i="9"/>
  <c r="AQ43" i="9" s="1"/>
  <c r="AO34" i="9"/>
  <c r="AQ34" i="9" s="1"/>
  <c r="AM19" i="9"/>
  <c r="AN19" i="9"/>
  <c r="AL19" i="9"/>
  <c r="AK19" i="9"/>
  <c r="AI19" i="9"/>
  <c r="AJ19" i="9"/>
  <c r="AH19" i="9"/>
  <c r="AO19" i="9" s="1"/>
  <c r="AQ19" i="9" s="1"/>
  <c r="AO23" i="9"/>
  <c r="AQ23" i="9" s="1"/>
  <c r="AO61" i="9"/>
  <c r="AQ61" i="9" s="1"/>
  <c r="AF74" i="9"/>
  <c r="AE74" i="9"/>
  <c r="BE87" i="9" l="1"/>
  <c r="BF87" i="9" s="1"/>
  <c r="AZ87" i="9"/>
  <c r="AY87" i="9"/>
  <c r="BG87" i="9"/>
  <c r="AR87" i="9"/>
  <c r="AS87" i="9" s="1"/>
  <c r="AZ26" i="9"/>
  <c r="AY26" i="9"/>
  <c r="AR26" i="9"/>
  <c r="AS26" i="9" s="1"/>
  <c r="BG26" i="9"/>
  <c r="BE26" i="9"/>
  <c r="BF26" i="9" s="1"/>
  <c r="BG33" i="9"/>
  <c r="AR33" i="9"/>
  <c r="AS33" i="9" s="1"/>
  <c r="AZ33" i="9"/>
  <c r="BE33" i="9"/>
  <c r="BF33" i="9" s="1"/>
  <c r="AY33" i="9"/>
  <c r="BE83" i="9"/>
  <c r="BF83" i="9" s="1"/>
  <c r="AZ83" i="9"/>
  <c r="AY83" i="9"/>
  <c r="BG83" i="9"/>
  <c r="AR83" i="9"/>
  <c r="AS83" i="9" s="1"/>
  <c r="BE57" i="9"/>
  <c r="BF57" i="9" s="1"/>
  <c r="AY57" i="9"/>
  <c r="BG57" i="9"/>
  <c r="AR57" i="9"/>
  <c r="AS57" i="9" s="1"/>
  <c r="AZ57" i="9"/>
  <c r="AZ27" i="9"/>
  <c r="BG27" i="9"/>
  <c r="BE27" i="9"/>
  <c r="BF27" i="9" s="1"/>
  <c r="AY27" i="9"/>
  <c r="AR27" i="9"/>
  <c r="AS27" i="9" s="1"/>
  <c r="AZ53" i="9"/>
  <c r="AY53" i="9"/>
  <c r="AR53" i="9"/>
  <c r="AS53" i="9" s="1"/>
  <c r="BG53" i="9"/>
  <c r="BE53" i="9"/>
  <c r="BF53" i="9" s="1"/>
  <c r="BG71" i="9"/>
  <c r="AR71" i="9"/>
  <c r="AS71" i="9" s="1"/>
  <c r="AZ71" i="9"/>
  <c r="BE71" i="9"/>
  <c r="BF71" i="9" s="1"/>
  <c r="AY71" i="9"/>
  <c r="AZ23" i="9"/>
  <c r="BG23" i="9"/>
  <c r="BE23" i="9"/>
  <c r="BF23" i="9" s="1"/>
  <c r="AY23" i="9"/>
  <c r="AR23" i="9"/>
  <c r="AS23" i="9" s="1"/>
  <c r="AL22" i="9"/>
  <c r="AN22" i="9"/>
  <c r="AM22" i="9"/>
  <c r="AK22" i="9"/>
  <c r="AJ22" i="9"/>
  <c r="AI22" i="9"/>
  <c r="AH22" i="9"/>
  <c r="AJ28" i="9"/>
  <c r="AL28" i="9"/>
  <c r="AN28" i="9"/>
  <c r="AM28" i="9"/>
  <c r="AK28" i="9"/>
  <c r="AI28" i="9"/>
  <c r="AH28" i="9"/>
  <c r="AO70" i="9"/>
  <c r="AQ70" i="9" s="1"/>
  <c r="AK77" i="9"/>
  <c r="AN77" i="9"/>
  <c r="AM77" i="9"/>
  <c r="AJ77" i="9"/>
  <c r="AI77" i="9"/>
  <c r="AH77" i="9"/>
  <c r="AL77" i="9"/>
  <c r="AY94" i="9"/>
  <c r="BG94" i="9"/>
  <c r="AR94" i="9"/>
  <c r="AS94" i="9" s="1"/>
  <c r="BE94" i="9"/>
  <c r="BF94" i="9" s="1"/>
  <c r="AZ94" i="9"/>
  <c r="AJ78" i="9"/>
  <c r="AO15" i="9"/>
  <c r="AQ15" i="9" s="1"/>
  <c r="AN79" i="9"/>
  <c r="AK79" i="9"/>
  <c r="AJ79" i="9"/>
  <c r="AI79" i="9"/>
  <c r="AM79" i="9"/>
  <c r="AL79" i="9"/>
  <c r="AH79" i="9"/>
  <c r="AH78" i="9"/>
  <c r="AK13" i="9"/>
  <c r="AJ13" i="9"/>
  <c r="AN13" i="9"/>
  <c r="AM13" i="9"/>
  <c r="AL13" i="9"/>
  <c r="AI13" i="9"/>
  <c r="AH13" i="9"/>
  <c r="AN78" i="9"/>
  <c r="AN54" i="9"/>
  <c r="AM54" i="9"/>
  <c r="AJ54" i="9"/>
  <c r="AL54" i="9"/>
  <c r="AK54" i="9"/>
  <c r="AI54" i="9"/>
  <c r="AH54" i="9"/>
  <c r="AN91" i="9"/>
  <c r="AM91" i="9"/>
  <c r="AK91" i="9"/>
  <c r="AJ91" i="9"/>
  <c r="AI91" i="9"/>
  <c r="AL91" i="9"/>
  <c r="AH91" i="9"/>
  <c r="AO91" i="9" s="1"/>
  <c r="AQ91" i="9" s="1"/>
  <c r="AN46" i="9"/>
  <c r="AM46" i="9"/>
  <c r="AJ46" i="9"/>
  <c r="AI46" i="9"/>
  <c r="AL46" i="9"/>
  <c r="AK46" i="9"/>
  <c r="AH46" i="9"/>
  <c r="AO46" i="9" s="1"/>
  <c r="AQ46" i="9" s="1"/>
  <c r="AM14" i="9"/>
  <c r="AL14" i="9"/>
  <c r="AJ14" i="9"/>
  <c r="AI14" i="9"/>
  <c r="AN14" i="9"/>
  <c r="AK14" i="9"/>
  <c r="AH14" i="9"/>
  <c r="AJ47" i="9"/>
  <c r="AL47" i="9"/>
  <c r="AN47" i="9"/>
  <c r="AI47" i="9"/>
  <c r="AM47" i="9"/>
  <c r="AK47" i="9"/>
  <c r="AH47" i="9"/>
  <c r="AK59" i="9"/>
  <c r="AI59" i="9"/>
  <c r="AM59" i="9"/>
  <c r="AJ59" i="9"/>
  <c r="AN59" i="9"/>
  <c r="AL59" i="9"/>
  <c r="AH59" i="9"/>
  <c r="AZ45" i="9"/>
  <c r="BG45" i="9"/>
  <c r="BE45" i="9"/>
  <c r="BF45" i="9" s="1"/>
  <c r="AR45" i="9"/>
  <c r="AS45" i="9" s="1"/>
  <c r="AY45" i="9"/>
  <c r="AK93" i="9"/>
  <c r="AJ93" i="9"/>
  <c r="AI93" i="9"/>
  <c r="AN93" i="9"/>
  <c r="AM93" i="9"/>
  <c r="AL93" i="9"/>
  <c r="AH93" i="9"/>
  <c r="AO93" i="9" s="1"/>
  <c r="AQ93" i="9" s="1"/>
  <c r="AO75" i="9"/>
  <c r="AQ75" i="9" s="1"/>
  <c r="AI88" i="9"/>
  <c r="AH88" i="9"/>
  <c r="AM88" i="9"/>
  <c r="AL88" i="9"/>
  <c r="AK88" i="9"/>
  <c r="AN88" i="9"/>
  <c r="AJ88" i="9"/>
  <c r="AK55" i="9"/>
  <c r="AI55" i="9"/>
  <c r="AM55" i="9"/>
  <c r="AL55" i="9"/>
  <c r="AJ55" i="9"/>
  <c r="AN55" i="9"/>
  <c r="AH55" i="9"/>
  <c r="AO55" i="9" s="1"/>
  <c r="AQ55" i="9" s="1"/>
  <c r="AK81" i="9"/>
  <c r="AJ81" i="9"/>
  <c r="AI81" i="9"/>
  <c r="AN81" i="9"/>
  <c r="AM81" i="9"/>
  <c r="AL81" i="9"/>
  <c r="AH81" i="9"/>
  <c r="AO36" i="9"/>
  <c r="AQ36" i="9" s="1"/>
  <c r="AZ50" i="9"/>
  <c r="AY50" i="9"/>
  <c r="AR50" i="9"/>
  <c r="AS50" i="9" s="1"/>
  <c r="BG50" i="9"/>
  <c r="BE50" i="9"/>
  <c r="BF50" i="9" s="1"/>
  <c r="AK63" i="9"/>
  <c r="AI63" i="9"/>
  <c r="AM63" i="9"/>
  <c r="AN63" i="9"/>
  <c r="AL63" i="9"/>
  <c r="AJ63" i="9"/>
  <c r="AH63" i="9"/>
  <c r="AI78" i="9"/>
  <c r="AI84" i="9"/>
  <c r="AH84" i="9"/>
  <c r="AM84" i="9"/>
  <c r="AL84" i="9"/>
  <c r="AK84" i="9"/>
  <c r="AJ84" i="9"/>
  <c r="AN84" i="9"/>
  <c r="AJ24" i="9"/>
  <c r="AL24" i="9"/>
  <c r="AN24" i="9"/>
  <c r="AM24" i="9"/>
  <c r="AK24" i="9"/>
  <c r="AI24" i="9"/>
  <c r="AH24" i="9"/>
  <c r="AJ39" i="9"/>
  <c r="AL39" i="9"/>
  <c r="AM39" i="9"/>
  <c r="AK39" i="9"/>
  <c r="AN39" i="9"/>
  <c r="AI39" i="9"/>
  <c r="AH39" i="9"/>
  <c r="AO44" i="9"/>
  <c r="AQ44" i="9" s="1"/>
  <c r="BE43" i="9"/>
  <c r="BF43" i="9" s="1"/>
  <c r="AZ43" i="9"/>
  <c r="AY43" i="9"/>
  <c r="BG43" i="9"/>
  <c r="AR43" i="9"/>
  <c r="AS43" i="9" s="1"/>
  <c r="AK17" i="9"/>
  <c r="AJ17" i="9"/>
  <c r="AI17" i="9"/>
  <c r="AN17" i="9"/>
  <c r="AL17" i="9"/>
  <c r="AM17" i="9"/>
  <c r="AH17" i="9"/>
  <c r="BE19" i="9"/>
  <c r="BF19" i="9" s="1"/>
  <c r="AY19" i="9"/>
  <c r="AZ19" i="9"/>
  <c r="AR19" i="9"/>
  <c r="AS19" i="9" s="1"/>
  <c r="BG19" i="9"/>
  <c r="AY56" i="9"/>
  <c r="BE56" i="9"/>
  <c r="BF56" i="9" s="1"/>
  <c r="AR56" i="9"/>
  <c r="AS56" i="9" s="1"/>
  <c r="BG56" i="9"/>
  <c r="AZ56" i="9"/>
  <c r="AO52" i="9"/>
  <c r="AQ52" i="9" s="1"/>
  <c r="AM65" i="9"/>
  <c r="AL65" i="9"/>
  <c r="AI65" i="9"/>
  <c r="AN65" i="9"/>
  <c r="AJ65" i="9"/>
  <c r="AH65" i="9"/>
  <c r="AK65" i="9"/>
  <c r="BG80" i="9"/>
  <c r="AR80" i="9"/>
  <c r="AS80" i="9" s="1"/>
  <c r="BE80" i="9"/>
  <c r="BF80" i="9" s="1"/>
  <c r="AY80" i="9"/>
  <c r="AZ80" i="9"/>
  <c r="AI20" i="9"/>
  <c r="AN20" i="9"/>
  <c r="AM20" i="9"/>
  <c r="AL20" i="9"/>
  <c r="AK20" i="9"/>
  <c r="AJ20" i="9"/>
  <c r="AH20" i="9"/>
  <c r="AM68" i="9"/>
  <c r="AK68" i="9"/>
  <c r="AJ68" i="9"/>
  <c r="AI68" i="9"/>
  <c r="AN68" i="9"/>
  <c r="AH68" i="9"/>
  <c r="AL68" i="9"/>
  <c r="AM78" i="9"/>
  <c r="AO66" i="9"/>
  <c r="AQ66" i="9" s="1"/>
  <c r="AZ34" i="9"/>
  <c r="BG34" i="9"/>
  <c r="BE34" i="9"/>
  <c r="BF34" i="9" s="1"/>
  <c r="AY34" i="9"/>
  <c r="AR34" i="9"/>
  <c r="AS34" i="9" s="1"/>
  <c r="BE32" i="9"/>
  <c r="BF32" i="9" s="1"/>
  <c r="AZ32" i="9"/>
  <c r="AY32" i="9"/>
  <c r="AR32" i="9"/>
  <c r="AS32" i="9" s="1"/>
  <c r="BG32" i="9"/>
  <c r="AI58" i="9"/>
  <c r="AN58" i="9"/>
  <c r="AK58" i="9"/>
  <c r="AL58" i="9"/>
  <c r="AM58" i="9"/>
  <c r="AJ58" i="9"/>
  <c r="AH58" i="9"/>
  <c r="AM82" i="9"/>
  <c r="AL82" i="9"/>
  <c r="AK82" i="9"/>
  <c r="AI82" i="9"/>
  <c r="AN82" i="9"/>
  <c r="AJ82" i="9"/>
  <c r="AH82" i="9"/>
  <c r="AM69" i="9"/>
  <c r="AL69" i="9"/>
  <c r="AI69" i="9"/>
  <c r="AH69" i="9"/>
  <c r="AK69" i="9"/>
  <c r="AN69" i="9"/>
  <c r="AJ69" i="9"/>
  <c r="AM74" i="9"/>
  <c r="AN74" i="9"/>
  <c r="AL74" i="9"/>
  <c r="AI74" i="9"/>
  <c r="AJ74" i="9"/>
  <c r="AK74" i="9"/>
  <c r="AH74" i="9"/>
  <c r="AK73" i="9"/>
  <c r="AM73" i="9"/>
  <c r="AN73" i="9"/>
  <c r="AL73" i="9"/>
  <c r="AI73" i="9"/>
  <c r="AJ73" i="9"/>
  <c r="AH73" i="9"/>
  <c r="AJ51" i="9"/>
  <c r="AL51" i="9"/>
  <c r="AM51" i="9"/>
  <c r="AK51" i="9"/>
  <c r="AN51" i="9"/>
  <c r="AI51" i="9"/>
  <c r="AH51" i="9"/>
  <c r="AM18" i="9"/>
  <c r="AL18" i="9"/>
  <c r="AK18" i="9"/>
  <c r="AJ18" i="9"/>
  <c r="AI18" i="9"/>
  <c r="AH18" i="9"/>
  <c r="AN18" i="9"/>
  <c r="AI76" i="9"/>
  <c r="AM76" i="9"/>
  <c r="AL76" i="9"/>
  <c r="AK76" i="9"/>
  <c r="AH76" i="9"/>
  <c r="AN76" i="9"/>
  <c r="AJ76" i="9"/>
  <c r="AI62" i="9"/>
  <c r="AN62" i="9"/>
  <c r="AK62" i="9"/>
  <c r="AM62" i="9"/>
  <c r="AL62" i="9"/>
  <c r="AJ62" i="9"/>
  <c r="AH62" i="9"/>
  <c r="AK85" i="9"/>
  <c r="AJ85" i="9"/>
  <c r="AI85" i="9"/>
  <c r="AN85" i="9"/>
  <c r="AM85" i="9"/>
  <c r="AL85" i="9"/>
  <c r="AH85" i="9"/>
  <c r="BE61" i="9"/>
  <c r="BF61" i="9" s="1"/>
  <c r="AY61" i="9"/>
  <c r="BG61" i="9"/>
  <c r="AR61" i="9"/>
  <c r="AS61" i="9" s="1"/>
  <c r="AZ61" i="9"/>
  <c r="AM64" i="9"/>
  <c r="AK64" i="9"/>
  <c r="AJ64" i="9"/>
  <c r="AL64" i="9"/>
  <c r="AI64" i="9"/>
  <c r="AH64" i="9"/>
  <c r="AN64" i="9"/>
  <c r="AN35" i="9"/>
  <c r="AM35" i="9"/>
  <c r="AJ35" i="9"/>
  <c r="AL35" i="9"/>
  <c r="AK35" i="9"/>
  <c r="AI35" i="9"/>
  <c r="AH35" i="9"/>
  <c r="AO35" i="9" s="1"/>
  <c r="AQ35" i="9" s="1"/>
  <c r="AI96" i="9"/>
  <c r="AH96" i="9"/>
  <c r="AN96" i="9"/>
  <c r="AM96" i="9"/>
  <c r="AL96" i="9"/>
  <c r="AK96" i="9"/>
  <c r="AJ96" i="9"/>
  <c r="AO37" i="9"/>
  <c r="AQ37" i="9" s="1"/>
  <c r="AZ42" i="9"/>
  <c r="AY42" i="9"/>
  <c r="AR42" i="9"/>
  <c r="AS42" i="9" s="1"/>
  <c r="BG42" i="9"/>
  <c r="BE42" i="9"/>
  <c r="BF42" i="9" s="1"/>
  <c r="AK21" i="9"/>
  <c r="AJ21" i="9"/>
  <c r="AI21" i="9"/>
  <c r="AN21" i="9"/>
  <c r="AM21" i="9"/>
  <c r="AL21" i="9"/>
  <c r="AH21" i="9"/>
  <c r="AN31" i="9"/>
  <c r="AJ31" i="9"/>
  <c r="AM31" i="9"/>
  <c r="AL31" i="9"/>
  <c r="AK31" i="9"/>
  <c r="AI31" i="9"/>
  <c r="AH31" i="9"/>
  <c r="AO29" i="9"/>
  <c r="AQ29" i="9" s="1"/>
  <c r="AO89" i="9"/>
  <c r="AQ89" i="9" s="1"/>
  <c r="AM86" i="9"/>
  <c r="AL86" i="9"/>
  <c r="AK86" i="9"/>
  <c r="AI86" i="9"/>
  <c r="AN86" i="9"/>
  <c r="AJ86" i="9"/>
  <c r="AH86" i="9"/>
  <c r="AO48" i="9"/>
  <c r="AQ48" i="9" s="1"/>
  <c r="AN95" i="9"/>
  <c r="AM95" i="9"/>
  <c r="AL95" i="9"/>
  <c r="AK95" i="9"/>
  <c r="AJ95" i="9"/>
  <c r="AI95" i="9"/>
  <c r="AH95" i="9"/>
  <c r="AN38" i="9"/>
  <c r="AJ38" i="9"/>
  <c r="AL38" i="9"/>
  <c r="AI38" i="9"/>
  <c r="AM38" i="9"/>
  <c r="AK38" i="9"/>
  <c r="AH38" i="9"/>
  <c r="AI92" i="9"/>
  <c r="AH92" i="9"/>
  <c r="AM92" i="9"/>
  <c r="AL92" i="9"/>
  <c r="AK92" i="9"/>
  <c r="AN92" i="9"/>
  <c r="AJ92" i="9"/>
  <c r="BG72" i="9"/>
  <c r="AR72" i="9"/>
  <c r="AS72" i="9" s="1"/>
  <c r="BE72" i="9"/>
  <c r="BF72" i="9" s="1"/>
  <c r="AZ72" i="9"/>
  <c r="AY72" i="9"/>
  <c r="AK67" i="9"/>
  <c r="AI67" i="9"/>
  <c r="AM67" i="9"/>
  <c r="AL67" i="9"/>
  <c r="AN67" i="9"/>
  <c r="AJ67" i="9"/>
  <c r="AH67" i="9"/>
  <c r="AM60" i="9"/>
  <c r="AK60" i="9"/>
  <c r="AJ60" i="9"/>
  <c r="AL60" i="9"/>
  <c r="AN60" i="9"/>
  <c r="AI60" i="9"/>
  <c r="AH60" i="9"/>
  <c r="AI16" i="9"/>
  <c r="AN16" i="9"/>
  <c r="AM16" i="9"/>
  <c r="AL16" i="9"/>
  <c r="AK16" i="9"/>
  <c r="AJ16" i="9"/>
  <c r="AH16" i="9"/>
  <c r="AO64" i="9" l="1"/>
  <c r="AQ64" i="9" s="1"/>
  <c r="AY64" i="9" s="1"/>
  <c r="BE91" i="9"/>
  <c r="BF91" i="9" s="1"/>
  <c r="AZ91" i="9"/>
  <c r="AY91" i="9"/>
  <c r="BG91" i="9"/>
  <c r="AR91" i="9"/>
  <c r="AS91" i="9" s="1"/>
  <c r="AO65" i="9"/>
  <c r="AQ65" i="9" s="1"/>
  <c r="AZ46" i="9"/>
  <c r="AY46" i="9"/>
  <c r="BG46" i="9"/>
  <c r="BE46" i="9"/>
  <c r="BF46" i="9" s="1"/>
  <c r="AR46" i="9"/>
  <c r="AS46" i="9" s="1"/>
  <c r="AO67" i="9"/>
  <c r="AQ67" i="9" s="1"/>
  <c r="AO62" i="9"/>
  <c r="AQ62" i="9" s="1"/>
  <c r="AO58" i="9"/>
  <c r="AQ58" i="9" s="1"/>
  <c r="AO17" i="9"/>
  <c r="AQ17" i="9" s="1"/>
  <c r="AO84" i="9"/>
  <c r="AQ84" i="9" s="1"/>
  <c r="AO81" i="9"/>
  <c r="AQ81" i="9" s="1"/>
  <c r="AO14" i="9"/>
  <c r="AQ14" i="9" s="1"/>
  <c r="AZ36" i="9"/>
  <c r="AY36" i="9"/>
  <c r="AR36" i="9"/>
  <c r="AS36" i="9" s="1"/>
  <c r="BG36" i="9"/>
  <c r="BE36" i="9"/>
  <c r="BF36" i="9" s="1"/>
  <c r="AO60" i="9"/>
  <c r="AQ60" i="9" s="1"/>
  <c r="AO92" i="9"/>
  <c r="AQ92" i="9" s="1"/>
  <c r="BG48" i="9"/>
  <c r="AR48" i="9"/>
  <c r="AS48" i="9" s="1"/>
  <c r="AZ48" i="9"/>
  <c r="AY48" i="9"/>
  <c r="BE48" i="9"/>
  <c r="BF48" i="9" s="1"/>
  <c r="BG89" i="9"/>
  <c r="AR89" i="9"/>
  <c r="AS89" i="9" s="1"/>
  <c r="BE89" i="9"/>
  <c r="BF89" i="9" s="1"/>
  <c r="AZ89" i="9"/>
  <c r="AY89" i="9"/>
  <c r="AO85" i="9"/>
  <c r="AQ85" i="9" s="1"/>
  <c r="AO76" i="9"/>
  <c r="AQ76" i="9" s="1"/>
  <c r="AO82" i="9"/>
  <c r="AQ82" i="9" s="1"/>
  <c r="BG66" i="9"/>
  <c r="AR66" i="9"/>
  <c r="AS66" i="9" s="1"/>
  <c r="BE66" i="9"/>
  <c r="BF66" i="9" s="1"/>
  <c r="AZ66" i="9"/>
  <c r="AY66" i="9"/>
  <c r="AO47" i="9"/>
  <c r="AQ47" i="9" s="1"/>
  <c r="AZ35" i="9"/>
  <c r="AY35" i="9"/>
  <c r="AR35" i="9"/>
  <c r="AS35" i="9" s="1"/>
  <c r="BG35" i="9"/>
  <c r="BE35" i="9"/>
  <c r="BF35" i="9" s="1"/>
  <c r="AO16" i="9"/>
  <c r="AQ16" i="9" s="1"/>
  <c r="AO95" i="9"/>
  <c r="AQ95" i="9" s="1"/>
  <c r="AO86" i="9"/>
  <c r="AQ86" i="9" s="1"/>
  <c r="AZ29" i="9"/>
  <c r="AR29" i="9"/>
  <c r="AS29" i="9" s="1"/>
  <c r="BG29" i="9"/>
  <c r="AY29" i="9"/>
  <c r="BE29" i="9"/>
  <c r="BF29" i="9" s="1"/>
  <c r="AO21" i="9"/>
  <c r="AQ21" i="9" s="1"/>
  <c r="AO20" i="9"/>
  <c r="AQ20" i="9" s="1"/>
  <c r="AO59" i="9"/>
  <c r="AQ59" i="9" s="1"/>
  <c r="BG70" i="9"/>
  <c r="AR70" i="9"/>
  <c r="AS70" i="9" s="1"/>
  <c r="BE70" i="9"/>
  <c r="BF70" i="9" s="1"/>
  <c r="AZ70" i="9"/>
  <c r="AY70" i="9"/>
  <c r="AO22" i="9"/>
  <c r="AQ22" i="9" s="1"/>
  <c r="AZ37" i="9"/>
  <c r="AY37" i="9"/>
  <c r="AR37" i="9"/>
  <c r="AS37" i="9" s="1"/>
  <c r="BG37" i="9"/>
  <c r="BE37" i="9"/>
  <c r="BF37" i="9" s="1"/>
  <c r="AO38" i="9"/>
  <c r="AQ38" i="9" s="1"/>
  <c r="AO31" i="9"/>
  <c r="AQ31" i="9" s="1"/>
  <c r="AO74" i="9"/>
  <c r="AQ74" i="9" s="1"/>
  <c r="AO63" i="9"/>
  <c r="AQ63" i="9" s="1"/>
  <c r="AO88" i="9"/>
  <c r="AQ88" i="9" s="1"/>
  <c r="AO28" i="9"/>
  <c r="AQ28" i="9" s="1"/>
  <c r="AO18" i="9"/>
  <c r="AQ18" i="9" s="1"/>
  <c r="AO96" i="9"/>
  <c r="AQ96" i="9" s="1"/>
  <c r="AO73" i="9"/>
  <c r="AQ73" i="9" s="1"/>
  <c r="AO68" i="9"/>
  <c r="AQ68" i="9" s="1"/>
  <c r="BG44" i="9"/>
  <c r="AR44" i="9"/>
  <c r="AS44" i="9" s="1"/>
  <c r="AZ44" i="9"/>
  <c r="BE44" i="9"/>
  <c r="BF44" i="9" s="1"/>
  <c r="AY44" i="9"/>
  <c r="AO24" i="9"/>
  <c r="AQ24" i="9" s="1"/>
  <c r="AO78" i="9"/>
  <c r="AQ78" i="9" s="1"/>
  <c r="BE15" i="9"/>
  <c r="BF15" i="9" s="1"/>
  <c r="AZ15" i="9"/>
  <c r="BG15" i="9"/>
  <c r="AY15" i="9"/>
  <c r="AR15" i="9"/>
  <c r="AS15" i="9" s="1"/>
  <c r="AO77" i="9"/>
  <c r="AQ77" i="9" s="1"/>
  <c r="BG93" i="9"/>
  <c r="AR93" i="9"/>
  <c r="AS93" i="9" s="1"/>
  <c r="BE93" i="9"/>
  <c r="BF93" i="9" s="1"/>
  <c r="AZ93" i="9"/>
  <c r="AY93" i="9"/>
  <c r="BG55" i="9"/>
  <c r="AR55" i="9"/>
  <c r="AS55" i="9" s="1"/>
  <c r="AY55" i="9"/>
  <c r="BE55" i="9"/>
  <c r="BF55" i="9" s="1"/>
  <c r="AZ55" i="9"/>
  <c r="AO51" i="9"/>
  <c r="AQ51" i="9" s="1"/>
  <c r="AO69" i="9"/>
  <c r="AQ69" i="9" s="1"/>
  <c r="BG52" i="9"/>
  <c r="AR52" i="9"/>
  <c r="AS52" i="9" s="1"/>
  <c r="AZ52" i="9"/>
  <c r="BE52" i="9"/>
  <c r="BF52" i="9" s="1"/>
  <c r="AY52" i="9"/>
  <c r="AO39" i="9"/>
  <c r="AQ39" i="9" s="1"/>
  <c r="BE75" i="9"/>
  <c r="BF75" i="9" s="1"/>
  <c r="BG75" i="9"/>
  <c r="AR75" i="9"/>
  <c r="AS75" i="9" s="1"/>
  <c r="AZ75" i="9"/>
  <c r="AY75" i="9"/>
  <c r="AO54" i="9"/>
  <c r="AQ54" i="9" s="1"/>
  <c r="AO13" i="9"/>
  <c r="AQ13" i="9" s="1"/>
  <c r="AO79" i="9"/>
  <c r="AQ79" i="9" s="1"/>
  <c r="AR64" i="9" l="1"/>
  <c r="AS64" i="9" s="1"/>
  <c r="BG64" i="9"/>
  <c r="AZ64" i="9"/>
  <c r="BE64" i="9"/>
  <c r="BF64" i="9" s="1"/>
  <c r="BE22" i="9"/>
  <c r="BF22" i="9" s="1"/>
  <c r="AZ22" i="9"/>
  <c r="AY22" i="9"/>
  <c r="BG22" i="9"/>
  <c r="AR22" i="9"/>
  <c r="AS22" i="9" s="1"/>
  <c r="BG16" i="9"/>
  <c r="AR16" i="9"/>
  <c r="AS16" i="9" s="1"/>
  <c r="AZ16" i="9"/>
  <c r="AY16" i="9"/>
  <c r="BE16" i="9"/>
  <c r="BF16" i="9" s="1"/>
  <c r="BG88" i="9"/>
  <c r="AR88" i="9"/>
  <c r="AS88" i="9" s="1"/>
  <c r="BE88" i="9"/>
  <c r="BF88" i="9" s="1"/>
  <c r="AY88" i="9"/>
  <c r="AZ88" i="9"/>
  <c r="BG59" i="9"/>
  <c r="AR59" i="9"/>
  <c r="AS59" i="9" s="1"/>
  <c r="AY59" i="9"/>
  <c r="BE59" i="9"/>
  <c r="BF59" i="9" s="1"/>
  <c r="AZ59" i="9"/>
  <c r="AY86" i="9"/>
  <c r="BG86" i="9"/>
  <c r="AR86" i="9"/>
  <c r="AS86" i="9" s="1"/>
  <c r="BE86" i="9"/>
  <c r="BF86" i="9" s="1"/>
  <c r="AZ86" i="9"/>
  <c r="BG85" i="9"/>
  <c r="AR85" i="9"/>
  <c r="AS85" i="9" s="1"/>
  <c r="BE85" i="9"/>
  <c r="BF85" i="9" s="1"/>
  <c r="AZ85" i="9"/>
  <c r="AY85" i="9"/>
  <c r="BG81" i="9"/>
  <c r="AR81" i="9"/>
  <c r="AS81" i="9" s="1"/>
  <c r="BE81" i="9"/>
  <c r="BF81" i="9" s="1"/>
  <c r="AZ81" i="9"/>
  <c r="AY81" i="9"/>
  <c r="BG63" i="9"/>
  <c r="AR63" i="9"/>
  <c r="AS63" i="9" s="1"/>
  <c r="AY63" i="9"/>
  <c r="BE63" i="9"/>
  <c r="BF63" i="9" s="1"/>
  <c r="AZ63" i="9"/>
  <c r="BG20" i="9"/>
  <c r="AR20" i="9"/>
  <c r="AS20" i="9" s="1"/>
  <c r="BE20" i="9"/>
  <c r="BF20" i="9" s="1"/>
  <c r="AZ20" i="9"/>
  <c r="AY20" i="9"/>
  <c r="BE95" i="9"/>
  <c r="BF95" i="9" s="1"/>
  <c r="AZ95" i="9"/>
  <c r="AY95" i="9"/>
  <c r="BG95" i="9"/>
  <c r="AR95" i="9"/>
  <c r="AS95" i="9" s="1"/>
  <c r="BG84" i="9"/>
  <c r="AR84" i="9"/>
  <c r="AS84" i="9" s="1"/>
  <c r="BE84" i="9"/>
  <c r="BF84" i="9" s="1"/>
  <c r="AY84" i="9"/>
  <c r="AZ84" i="9"/>
  <c r="AY74" i="9"/>
  <c r="BE74" i="9"/>
  <c r="BF74" i="9" s="1"/>
  <c r="AR74" i="9"/>
  <c r="AS74" i="9" s="1"/>
  <c r="BG74" i="9"/>
  <c r="AZ74" i="9"/>
  <c r="AY68" i="9"/>
  <c r="BE68" i="9"/>
  <c r="BF68" i="9" s="1"/>
  <c r="AR68" i="9"/>
  <c r="AS68" i="9" s="1"/>
  <c r="BG68" i="9"/>
  <c r="AZ68" i="9"/>
  <c r="BG58" i="9"/>
  <c r="AR58" i="9"/>
  <c r="AS58" i="9" s="1"/>
  <c r="BE58" i="9"/>
  <c r="BF58" i="9" s="1"/>
  <c r="AZ58" i="9"/>
  <c r="AY58" i="9"/>
  <c r="BE79" i="9"/>
  <c r="BF79" i="9" s="1"/>
  <c r="AZ79" i="9"/>
  <c r="BG79" i="9"/>
  <c r="AR79" i="9"/>
  <c r="AS79" i="9" s="1"/>
  <c r="AY79" i="9"/>
  <c r="BG39" i="9"/>
  <c r="BE39" i="9"/>
  <c r="BF39" i="9" s="1"/>
  <c r="AY39" i="9"/>
  <c r="AR39" i="9"/>
  <c r="AS39" i="9" s="1"/>
  <c r="AZ39" i="9"/>
  <c r="AY78" i="9"/>
  <c r="BG78" i="9"/>
  <c r="AR78" i="9"/>
  <c r="AS78" i="9" s="1"/>
  <c r="BE78" i="9"/>
  <c r="BF78" i="9" s="1"/>
  <c r="AZ78" i="9"/>
  <c r="AY73" i="9"/>
  <c r="BG73" i="9"/>
  <c r="BE73" i="9"/>
  <c r="BF73" i="9" s="1"/>
  <c r="AZ73" i="9"/>
  <c r="AR73" i="9"/>
  <c r="AS73" i="9" s="1"/>
  <c r="AZ38" i="9"/>
  <c r="BG38" i="9"/>
  <c r="AY38" i="9"/>
  <c r="AR38" i="9"/>
  <c r="AS38" i="9" s="1"/>
  <c r="BE38" i="9"/>
  <c r="BF38" i="9" s="1"/>
  <c r="AY60" i="9"/>
  <c r="BE60" i="9"/>
  <c r="BF60" i="9" s="1"/>
  <c r="AZ60" i="9"/>
  <c r="AR60" i="9"/>
  <c r="AS60" i="9" s="1"/>
  <c r="BG60" i="9"/>
  <c r="BG62" i="9"/>
  <c r="AR62" i="9"/>
  <c r="AS62" i="9" s="1"/>
  <c r="BE62" i="9"/>
  <c r="BF62" i="9" s="1"/>
  <c r="AZ62" i="9"/>
  <c r="AY62" i="9"/>
  <c r="BE69" i="9"/>
  <c r="BF69" i="9" s="1"/>
  <c r="AY69" i="9"/>
  <c r="BG69" i="9"/>
  <c r="AR69" i="9"/>
  <c r="AS69" i="9" s="1"/>
  <c r="AZ69" i="9"/>
  <c r="AR21" i="9"/>
  <c r="AS21" i="9" s="1"/>
  <c r="BG21" i="9"/>
  <c r="BE21" i="9"/>
  <c r="BF21" i="9" s="1"/>
  <c r="AZ21" i="9"/>
  <c r="AY21" i="9"/>
  <c r="BG17" i="9"/>
  <c r="AR17" i="9"/>
  <c r="AS17" i="9" s="1"/>
  <c r="BE17" i="9"/>
  <c r="BF17" i="9" s="1"/>
  <c r="AZ17" i="9"/>
  <c r="AY17" i="9"/>
  <c r="BE51" i="9"/>
  <c r="BF51" i="9" s="1"/>
  <c r="AR51" i="9"/>
  <c r="AS51" i="9" s="1"/>
  <c r="AY51" i="9"/>
  <c r="BG51" i="9"/>
  <c r="AZ51" i="9"/>
  <c r="AZ31" i="9"/>
  <c r="BG31" i="9"/>
  <c r="BE31" i="9"/>
  <c r="BF31" i="9" s="1"/>
  <c r="AY31" i="9"/>
  <c r="AR31" i="9"/>
  <c r="AS31" i="9" s="1"/>
  <c r="BG92" i="9"/>
  <c r="AR92" i="9"/>
  <c r="AS92" i="9" s="1"/>
  <c r="BE92" i="9"/>
  <c r="BF92" i="9" s="1"/>
  <c r="AY92" i="9"/>
  <c r="AZ92" i="9"/>
  <c r="BE65" i="9"/>
  <c r="BF65" i="9" s="1"/>
  <c r="AY65" i="9"/>
  <c r="BG65" i="9"/>
  <c r="AR65" i="9"/>
  <c r="AS65" i="9" s="1"/>
  <c r="AZ65" i="9"/>
  <c r="AQ10" i="9"/>
  <c r="AY11" i="9" s="1"/>
  <c r="BE13" i="9"/>
  <c r="BF13" i="9" s="1"/>
  <c r="AR13" i="9"/>
  <c r="AS13" i="9" s="1"/>
  <c r="BG13" i="9"/>
  <c r="AZ13" i="9"/>
  <c r="AY13" i="9"/>
  <c r="BG24" i="9"/>
  <c r="BE24" i="9"/>
  <c r="BF24" i="9" s="1"/>
  <c r="AZ24" i="9"/>
  <c r="AY24" i="9"/>
  <c r="AR24" i="9"/>
  <c r="AS24" i="9" s="1"/>
  <c r="BG96" i="9"/>
  <c r="AR96" i="9"/>
  <c r="AS96" i="9" s="1"/>
  <c r="BE96" i="9"/>
  <c r="BF96" i="9" s="1"/>
  <c r="AZ96" i="9"/>
  <c r="AY96" i="9"/>
  <c r="BG67" i="9"/>
  <c r="AR67" i="9"/>
  <c r="AS67" i="9" s="1"/>
  <c r="AY67" i="9"/>
  <c r="AZ67" i="9"/>
  <c r="BE67" i="9"/>
  <c r="BF67" i="9" s="1"/>
  <c r="BG54" i="9"/>
  <c r="AR54" i="9"/>
  <c r="AS54" i="9" s="1"/>
  <c r="BE54" i="9"/>
  <c r="BF54" i="9" s="1"/>
  <c r="AY54" i="9"/>
  <c r="AZ54" i="9"/>
  <c r="AY82" i="9"/>
  <c r="BG82" i="9"/>
  <c r="AR82" i="9"/>
  <c r="AS82" i="9" s="1"/>
  <c r="BE82" i="9"/>
  <c r="BF82" i="9" s="1"/>
  <c r="AZ82" i="9"/>
  <c r="BE77" i="9"/>
  <c r="BF77" i="9" s="1"/>
  <c r="AZ77" i="9"/>
  <c r="AY77" i="9"/>
  <c r="BG77" i="9"/>
  <c r="AR77" i="9"/>
  <c r="AS77" i="9" s="1"/>
  <c r="AY18" i="9"/>
  <c r="BG18" i="9"/>
  <c r="AR18" i="9"/>
  <c r="AS18" i="9" s="1"/>
  <c r="BE18" i="9"/>
  <c r="BF18" i="9" s="1"/>
  <c r="AZ18" i="9"/>
  <c r="BG28" i="9"/>
  <c r="BE28" i="9"/>
  <c r="BF28" i="9" s="1"/>
  <c r="AZ28" i="9"/>
  <c r="AY28" i="9"/>
  <c r="AR28" i="9"/>
  <c r="AS28" i="9" s="1"/>
  <c r="BG76" i="9"/>
  <c r="AR76" i="9"/>
  <c r="AS76" i="9" s="1"/>
  <c r="AY76" i="9"/>
  <c r="AZ76" i="9"/>
  <c r="BE76" i="9"/>
  <c r="BF76" i="9" s="1"/>
  <c r="AY14" i="9"/>
  <c r="BG14" i="9"/>
  <c r="AR14" i="9"/>
  <c r="AS14" i="9" s="1"/>
  <c r="AZ14" i="9"/>
  <c r="BE14" i="9"/>
  <c r="BF14" i="9" s="1"/>
  <c r="BE47" i="9"/>
  <c r="BF47" i="9" s="1"/>
  <c r="AY47" i="9"/>
  <c r="AR47" i="9"/>
  <c r="AS47" i="9" s="1"/>
  <c r="BG47" i="9"/>
  <c r="AZ47" i="9"/>
  <c r="BG11" i="9" l="1"/>
  <c r="BH11" i="9" s="1"/>
  <c r="AS10" i="9"/>
  <c r="E7" i="7" l="1"/>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F13" i="7" l="1"/>
  <c r="F14" i="7"/>
  <c r="F16" i="7"/>
  <c r="F21" i="7"/>
  <c r="F29" i="7"/>
  <c r="F30" i="7"/>
  <c r="F32" i="7"/>
  <c r="F37" i="7"/>
  <c r="F45" i="7"/>
  <c r="F46" i="7"/>
  <c r="F48" i="7"/>
  <c r="F53" i="7"/>
  <c r="F61" i="7"/>
  <c r="F62" i="7"/>
  <c r="F64" i="7"/>
  <c r="F69" i="7"/>
  <c r="F77" i="7"/>
  <c r="F78" i="7"/>
  <c r="F80" i="7"/>
  <c r="F85" i="7"/>
  <c r="F7" i="7"/>
  <c r="F8" i="7"/>
  <c r="F9" i="7"/>
  <c r="F10" i="7"/>
  <c r="F11" i="7"/>
  <c r="F12" i="7"/>
  <c r="F15" i="7"/>
  <c r="F17" i="7"/>
  <c r="F18" i="7"/>
  <c r="F19" i="7"/>
  <c r="F20" i="7"/>
  <c r="F22" i="7"/>
  <c r="F23" i="7"/>
  <c r="F24" i="7"/>
  <c r="F25" i="7"/>
  <c r="F26" i="7"/>
  <c r="F27" i="7"/>
  <c r="F28" i="7"/>
  <c r="F31" i="7"/>
  <c r="F33" i="7"/>
  <c r="F34" i="7"/>
  <c r="F35" i="7"/>
  <c r="F36" i="7"/>
  <c r="F38" i="7"/>
  <c r="F39" i="7"/>
  <c r="F40" i="7"/>
  <c r="F41" i="7"/>
  <c r="F42" i="7"/>
  <c r="F43" i="7"/>
  <c r="F44" i="7"/>
  <c r="F47" i="7"/>
  <c r="F49" i="7"/>
  <c r="F50" i="7"/>
  <c r="F51" i="7"/>
  <c r="F52" i="7"/>
  <c r="F54" i="7"/>
  <c r="F55" i="7"/>
  <c r="F56" i="7"/>
  <c r="F57" i="7"/>
  <c r="F58" i="7"/>
  <c r="F59" i="7"/>
  <c r="F60" i="7"/>
  <c r="F63" i="7"/>
  <c r="F65" i="7"/>
  <c r="F66" i="7"/>
  <c r="F67" i="7"/>
  <c r="F68" i="7"/>
  <c r="F70" i="7"/>
  <c r="F71" i="7"/>
  <c r="F72" i="7"/>
  <c r="F73" i="7"/>
  <c r="F74" i="7"/>
  <c r="F75" i="7"/>
  <c r="F76" i="7"/>
  <c r="F79" i="7"/>
  <c r="F81" i="7"/>
  <c r="F82" i="7"/>
  <c r="F83" i="7"/>
  <c r="F84" i="7"/>
  <c r="F86" i="7"/>
  <c r="F87" i="7"/>
  <c r="F88" i="7"/>
  <c r="F89" i="7"/>
  <c r="E6" i="7"/>
  <c r="F6" i="7" s="1"/>
  <c r="F90" i="7" l="1"/>
  <c r="K29" i="5" l="1"/>
  <c r="K28" i="5"/>
  <c r="I28" i="5"/>
  <c r="K27" i="5"/>
  <c r="I23" i="5"/>
  <c r="I22" i="5"/>
  <c r="I21" i="5"/>
  <c r="I20" i="5"/>
  <c r="O16" i="5"/>
  <c r="M16" i="5"/>
  <c r="K16" i="5"/>
  <c r="I16" i="5"/>
  <c r="O15" i="5"/>
  <c r="M15" i="5"/>
  <c r="K15" i="5"/>
  <c r="K5" i="5"/>
  <c r="K4" i="5"/>
</calcChain>
</file>

<file path=xl/sharedStrings.xml><?xml version="1.0" encoding="utf-8"?>
<sst xmlns="http://schemas.openxmlformats.org/spreadsheetml/2006/main" count="647" uniqueCount="292">
  <si>
    <t xml:space="preserve">No. </t>
  </si>
  <si>
    <t>ITEM NP</t>
  </si>
  <si>
    <t>DESCRIPION ELEMENTO</t>
  </si>
  <si>
    <t>UND</t>
  </si>
  <si>
    <t>VALOR 1</t>
  </si>
  <si>
    <t>VALOR 2</t>
  </si>
  <si>
    <t>VALOR 3</t>
  </si>
  <si>
    <t>VALOR 4</t>
  </si>
  <si>
    <t>PROMEDIO</t>
  </si>
  <si>
    <t>ML</t>
  </si>
  <si>
    <t>1/2 LB</t>
  </si>
  <si>
    <t>NP9</t>
  </si>
  <si>
    <t>https://www.homecenter.com.co/homecenter-co/product/77643/tubo-cobre-m-3-4-pulgadas-6-metros/77643/</t>
  </si>
  <si>
    <t>https://www.linio.com.co/p/tubo-de-cobre-tipo-l-3-4-pg-x-3m-lfomk0?adjust_t=1zira0_f1h7ws&amp;adjust_google_network=g&amp;adjust_google_placement=&amp;adjust_campaign=LICO-LAB-TC-INSTI-LOC-00017-Product_Pages-Oct19-GG-DSA-Conversion-Mix&amp;adjust_adgroup=131617331194&amp;gclid=Cj0KCQjwjryjBhD0ARIsAMLvnF8clDnlIPYP06BRs-YA7UmfLImzZ3PlRRIp1MEuDscNzpKYgDpymDkaArA9EALw_wcB</t>
  </si>
  <si>
    <t>https://mitiendacoval.com/redes-internas-gas-/tubo-cobre-tipo-l-3-4-pg-x-6-metros</t>
  </si>
  <si>
    <t>NP11</t>
  </si>
  <si>
    <t>https://mitiendacoval.com/redes-internas-gas-/union-galvanizada-3-4</t>
  </si>
  <si>
    <t>ROLLO</t>
  </si>
  <si>
    <t>TUBO</t>
  </si>
  <si>
    <t>PAR</t>
  </si>
  <si>
    <t>NP22</t>
  </si>
  <si>
    <t>https://vinisol.com.co/catalogo/essentials-150-chene-nature/</t>
  </si>
  <si>
    <t>GL</t>
  </si>
  <si>
    <t>NP29</t>
  </si>
  <si>
    <t>TOMA CORRIENTE DOBLE PARA EXTERIOR CON TAPA</t>
  </si>
  <si>
    <t>https://interelectricas.com.co/articulos-electricos/2758-tapa-para-toma-doble-intemperie.html</t>
  </si>
  <si>
    <t>unidad</t>
  </si>
  <si>
    <t>NP43</t>
  </si>
  <si>
    <t>LLAVE FLEXON1000SH FLEXON</t>
  </si>
  <si>
    <t>NP44</t>
  </si>
  <si>
    <t>PAQ</t>
  </si>
  <si>
    <t>CLAVIJA POLO TIERRA 15 AMP INDUSTRIAL CODELCA</t>
  </si>
  <si>
    <t>catalogo precios gerfor 2023</t>
  </si>
  <si>
    <t>NP 66</t>
  </si>
  <si>
    <t>https://chp.com.co/construccion/tuberia-pvc-y-accesorios/codo-cxc-90-sanitaria.html#/139-presentacion-1_1_2_pulgadas</t>
  </si>
  <si>
    <t>NP 67</t>
  </si>
  <si>
    <t>https://www.easy.com.co/tubo-pvc-presion-1-14x6m-rde-21-gerfor/p</t>
  </si>
  <si>
    <t>https://www.homecenter.com.co/homecenter-co/product/117567/tubo-presion-6-mts-rde-21-200-psi-1-1-4-pulg/117567/</t>
  </si>
  <si>
    <t>und</t>
  </si>
  <si>
    <t>UNIDAD</t>
  </si>
  <si>
    <t>BUJES DE 6-4</t>
  </si>
  <si>
    <t>NP 83</t>
  </si>
  <si>
    <t>BUJE DE 6 4-3</t>
  </si>
  <si>
    <t>FERRETERIA DEPOSITO NORMANDIA</t>
  </si>
  <si>
    <t>COMERCIALIZADORA OLARTE</t>
  </si>
  <si>
    <t>FERRETERIA FONSECA</t>
  </si>
  <si>
    <t>NP 84</t>
  </si>
  <si>
    <t>PEINAZOS 4X8 CLA 18" X 6 MTS</t>
  </si>
  <si>
    <t>https://solotejas.com/producto/perfil-4-x-8-acero-calibre-18/</t>
  </si>
  <si>
    <t>https://ferropaz.com/index.php?id_product=6&amp;controller=product</t>
  </si>
  <si>
    <t>NP 85</t>
  </si>
  <si>
    <t>CODOS CAMPANA X CAMPANA 6"</t>
  </si>
  <si>
    <t>VARILLA 1/2" 3 MTS</t>
  </si>
  <si>
    <t>KG</t>
  </si>
  <si>
    <t>ALMACEN PARAMO</t>
  </si>
  <si>
    <t>NP 95</t>
  </si>
  <si>
    <t>https://www.homecenter.com.co/homecenter-co/product/65897/tubo-2x6m-presion-21-200-psi/65897/</t>
  </si>
  <si>
    <t>https://www.construmole.com/producto/tubo-presion-2-x-6mts-rde-21-200-psi-pavco/</t>
  </si>
  <si>
    <t>NP 96</t>
  </si>
  <si>
    <t>https://depositolaramada.com/producto/tubo-presion-2-rde-21-200-lb-mt-pavco/</t>
  </si>
  <si>
    <t>NP 102</t>
  </si>
  <si>
    <t>https://www.homecenter.com.co/homecenter-co/product/65893/tubo-3-4x6m-presion-21-200-psi/65893/</t>
  </si>
  <si>
    <t>NP 105</t>
  </si>
  <si>
    <t>https://www.homecenter.com.co/homecenter-co/product/240040/buje-soldado-2x3-4-presion/240040/</t>
  </si>
  <si>
    <t>NP 111</t>
  </si>
  <si>
    <t>BTO</t>
  </si>
  <si>
    <t>https://www.homecenter.com.co/homecenter-co/product/04862/granito-blanco-20-kilos/04862/</t>
  </si>
  <si>
    <t>https://homecenter.falabella.com.co/homecenter-co/product/118874207/Granito-blanco-20-kilos/118874211?exp=homecenter</t>
  </si>
  <si>
    <t>NP 112</t>
  </si>
  <si>
    <t>GALON</t>
  </si>
  <si>
    <t>NP 115</t>
  </si>
  <si>
    <t>CARTUCHO PUSH ORINAL - MARCA CORONA</t>
  </si>
  <si>
    <t>compáñia colombiana colce</t>
  </si>
  <si>
    <t>NP 116</t>
  </si>
  <si>
    <t>REPUESTO ESCUDO VALVULA LMV-ORINAL ANTIVANDALICA - MARCA CORONA</t>
  </si>
  <si>
    <t>NP 117</t>
  </si>
  <si>
    <t>REPUESTO PORTAESCUDO VALVULA LVM-ORINAL ANTIVULA - MARCA CORONA</t>
  </si>
  <si>
    <t>NP 118</t>
  </si>
  <si>
    <t>CARTUCHO VALVULA SANITARIO EMPOTRADA - MARCA CORONA</t>
  </si>
  <si>
    <t>NP 119</t>
  </si>
  <si>
    <t>REPUESTO ESCUDO VALVULA SANITARIO ANTIVANDALICO - MARCA CORONA</t>
  </si>
  <si>
    <t>NP 120</t>
  </si>
  <si>
    <t>REPUESTO PORTAESCUDO VALVULA SANITARIO ANTIVANDALICA - MARCA CORONA</t>
  </si>
  <si>
    <t>NP 122</t>
  </si>
  <si>
    <t>MARCO METALICO PARA LAMPARA DE INCRUSTAR 0,60*0,60</t>
  </si>
  <si>
    <t>https://interelectricas.com.co/paneles-led/1881-base-o-marco-incrustar-panel-led-60-x-60.html</t>
  </si>
  <si>
    <t>GUSTROM</t>
  </si>
  <si>
    <t>COMERCIALIADORA ELECTRO MC SAS</t>
  </si>
  <si>
    <t>NP 123</t>
  </si>
  <si>
    <t>NP 131</t>
  </si>
  <si>
    <t>https://www.homecenter.com.co/homecenter-co/product/421774/paquete-x-2-unidades-escurridor-multiusos/421774/</t>
  </si>
  <si>
    <t>https://homecenter.falabella.com.co/homecenter-co/product/119196698/Paquete-x-2-Unidades-Escurridor-Multiusos/119196704</t>
  </si>
  <si>
    <t>NP 133</t>
  </si>
  <si>
    <t>https://www.homecenter.com.co/homecenter-co/product/290612/tubo-fluorescente-t5-28w-118-cm-luz-fria/290612/</t>
  </si>
  <si>
    <t>electricos del centro</t>
  </si>
  <si>
    <t>NP 135</t>
  </si>
  <si>
    <t>PANEL LED RD 24 W DE INCRSUTAR LUZ BLANCA</t>
  </si>
  <si>
    <t>electroiluminaciones cahpinero</t>
  </si>
  <si>
    <t>COMERCIALIZADORA ELECTRO MC SAS</t>
  </si>
  <si>
    <t>GRUPO STROM COLOMBIA SAS</t>
  </si>
  <si>
    <t>CHAZO PLASTICO 1/4" PULGADA PARA MURO</t>
  </si>
  <si>
    <t>NP147</t>
  </si>
  <si>
    <t>https://www.homecenter.com.co/homecenter-co/product/592993/tornillo-madera-aglomerada-zincado-6-x-2-6u/592993/</t>
  </si>
  <si>
    <t>https://homecenter.falabella.com.co/homecenter-co/product/118834719/Tornillo-Madera-Aglomerado-Irizado-6x1-1-4pg-10und/118834720</t>
  </si>
  <si>
    <t>NP151</t>
  </si>
  <si>
    <t>COPA SIERRA DIAMANTADA 1-3/8 DE PULGADA OARA MARMOL MARCA UBERMAN</t>
  </si>
  <si>
    <t>https://www.homecenter.com.co/homecenter-co/product/337537/copa-diamantada-1-3-8-pulg-ubermann/337537/</t>
  </si>
  <si>
    <t>FERRETERIA UNION</t>
  </si>
  <si>
    <t>NP 153</t>
  </si>
  <si>
    <t>Distri - iluminaciones Victor Morales</t>
  </si>
  <si>
    <t xml:space="preserve"> $      189075,63</t>
  </si>
  <si>
    <t>eletroredes J.J.</t>
  </si>
  <si>
    <t>ACOPLE MONOCONTROL 1/2"   PARA LAVAMANOS METALICO DE 50 CM</t>
  </si>
  <si>
    <t>GRANITO  BLANCO #2</t>
  </si>
  <si>
    <t>ACCESORIO #6 TALADRO SET ATORNILLADOR-BROCA REF DW2700</t>
  </si>
  <si>
    <t>ACCESORIO #8 TALADRO SET ATORNILLADOR-BROCA REF DW2701</t>
  </si>
  <si>
    <t xml:space="preserve">ADAPTADOR HEMBRA COBRE DE ROSCA INTERIOR 1" A 3/4" CONECTOR LISO </t>
  </si>
  <si>
    <t>ADAPTADOR MACHO 2" PVC MARCA PAVCO</t>
  </si>
  <si>
    <t>ADAPTADOR MACHO 3/4 PRESIÓN MARCA PAVCO</t>
  </si>
  <si>
    <t>ALAMBRE DE COBRE #14 AMARILLO 100M</t>
  </si>
  <si>
    <t xml:space="preserve">BALASTRO ECOSISTEM H SERIE EHDT 554CU210 DE  2X54 W T5 DIMERIZABLE  </t>
  </si>
  <si>
    <t>BAYETILLA POR ANCHO DE 70 CM LONGITUD 1 ML COLOR BLANCO</t>
  </si>
  <si>
    <t>BUGE 2 A 3/4" PRESION PVC MARCA PAVCO</t>
  </si>
  <si>
    <t>BUSHING GALVANIZADO 1 X 1/2"</t>
  </si>
  <si>
    <t xml:space="preserve">CABLE 7 HILOS THHN/THWN - 2AWG NO 8 </t>
  </si>
  <si>
    <t>CABLE ENCAUCHETADO (MULTIFLEX) 3X16 AWG 1MT NEXANS</t>
  </si>
  <si>
    <t>CAL HIDRATADA 10 KILOS, CORONA</t>
  </si>
  <si>
    <t>CANDADO INTEMPERIE ENCAUCHETADO 71MM</t>
  </si>
  <si>
    <t>CAUTÍN TIPO LÁPIZ DE 48 W 5 EN 1 CON TEMPERATURA AJUSTABLE Y ESTACION DE SOLDADURA</t>
  </si>
  <si>
    <t>CHAPA CAJÓN NIQUELADA 19X22MM</t>
  </si>
  <si>
    <t>CHAPA GUANTERA NIQUEL 19X20MM</t>
  </si>
  <si>
    <t>CHAZO COLAPSIBLE BLOQUE HUECO 1/4X1 PAQUETE X 100UN</t>
  </si>
  <si>
    <t>CILINDRO GAS MAP/PRO 14.1 OZ</t>
  </si>
  <si>
    <t>CILINDRO SEGURIDAD NIQUEL PERFIL EUROPEO 5 LLAVES</t>
  </si>
  <si>
    <t>CINTA PARA DUCTO RESISTE ALTAS TEMPERATURAS 10M</t>
  </si>
  <si>
    <t>CINTA PARA DUCTO RESISTE ALTAS TEMPERATURAS 50M</t>
  </si>
  <si>
    <t>CODO 90 COBRE 3/4" PULGADAS</t>
  </si>
  <si>
    <t>CODO 90 PRESION DE 2" PVC MARCA PAVCO</t>
  </si>
  <si>
    <t>CODO 90 X 3/4 PRESIÓN MARCA PAVCO</t>
  </si>
  <si>
    <t>CODO CAMPANA POR CAMPANA PVC DE 1 1/2"
MARCA GERFOR O PAVCO</t>
  </si>
  <si>
    <t>CODO CAMPANA POR CAMPANA PVC DE 2"
MARCA GERFOR O PAVCO</t>
  </si>
  <si>
    <t>ESCURRIDOR MULTIUSOS</t>
  </si>
  <si>
    <t>EXTENCIONES ELECTRICAS 3 M</t>
  </si>
  <si>
    <t>FOTOCELDA CON BASE 800W 110V</t>
  </si>
  <si>
    <t>GASTOP SELLANTE FUERZA ALTA 10 GR</t>
  </si>
  <si>
    <t>GASTOP SELLANTE FUERZA MEDIA 10 GR</t>
  </si>
  <si>
    <t>GRIFERÍA TANQUE 3/4: VÁLVULA DE FLOTADOR PARA TANQUE ALTO;CUERPO EN BRONCE FUNDIDO;VÁSTAGO EN LATÓN;CONECTOR Y HORQUILLA EN LATÓN FORJADO;SELLO EN NITRILO;CONEXIÓN ROSCA NPT;PRESIÓN DE CIERRE 125 PSI;INCLUYE VARILLA EN LATÓN Y BOLA COBRE MARCA HELBERT</t>
  </si>
  <si>
    <t>GUANTE CARNAZA REFORZADO LARGO TALLA 10 O GRANDE</t>
  </si>
  <si>
    <t>GUARDAESCOBA ROBLE GRIS7.8X1.2 CM 2.44 M</t>
  </si>
  <si>
    <t>HIDROFUGO TRANSP X 5 GL</t>
  </si>
  <si>
    <t>KIT GRIFERÍA GRIVAL ATLAS 26 CM + ACOPLES + VÁLVULA REGULATORIA</t>
  </si>
  <si>
    <t>LLAVE FLEXON 1500 CABEZA COLOR</t>
  </si>
  <si>
    <t>LLAVE PUSH LAVAMANOS DE PARED MARCA BOCCHERINI</t>
  </si>
  <si>
    <t>MASILLA AUTOMOTRIZ (HUESO DURO) 1/4 GLN</t>
  </si>
  <si>
    <t>MINERAL   1 LIBRA (CUALQUIER COLOR)</t>
  </si>
  <si>
    <t>NIPLE GALVANIZADO AGUA 3/ 4 PULGADA X10 CM ROSCADO</t>
  </si>
  <si>
    <t>PASTA FUNDENTE ESTANO X 1/2 LIBRA</t>
  </si>
  <si>
    <t>PEGANTE PL285 USO PROFESIONAL</t>
  </si>
  <si>
    <t>PERIMETRAL CORNISA PVC BLANCA</t>
  </si>
  <si>
    <t>PISO VINILICO EN ROLLO TRAFICO RESIDENCIAL REFERENCIA ESSENTIALS 150 CHENE NATURE, COLOR SEGÚN MUESTRA EN CELDA DE OBSERVACIÓN DE ESTA FORMATO</t>
  </si>
  <si>
    <t>PISTOLA CALAFATEO TIPO ESQUELETO REFORZADA TRP17558 MARCA TRUPER</t>
  </si>
  <si>
    <t xml:space="preserve">POLISOMBRA - MULTIMARCA - 50% NEGRA 4MTS(ROLLO X 100MTS)  </t>
  </si>
  <si>
    <t>REPARADOR IMPERMEABILIZANTE XYPEX PATCH AND PLUG 5KG BALDE</t>
  </si>
  <si>
    <t>SEMICODO 45 PRESION DE 2" PVC MARCA PAVCO</t>
  </si>
  <si>
    <t xml:space="preserve">SEMICODO SANITARIO. PVC CXC 6" </t>
  </si>
  <si>
    <t xml:space="preserve">SEMICODO SANITARIO. PVC CXE 6" </t>
  </si>
  <si>
    <t>SIKA IGASOL CUBIERTA POR 3,5 KG</t>
  </si>
  <si>
    <t>SIKA MULTISEAL: SIKA MULTISEAL CINTA BITUMINOSA AUTOADHESIVA IMPERMEABILIZANTE CON ALUMINIO 15CMX10M</t>
  </si>
  <si>
    <t>SIKA TECHO E IMPERMEABILIZANTE PARA CUBIERTA Y TERRAZA 18KG</t>
  </si>
  <si>
    <t>SIKA-101 MORTERO PLUS RECUBRIMIENTO IMPERMEABLE GRIS 25KG</t>
  </si>
  <si>
    <t>SIKA-2 ACELERANTE DE FRAGUADO ULTRARÁPIDO, TAPONAR FILTRACIONES 2.5KG</t>
  </si>
  <si>
    <t>SIKA-3 ACELERANTE PARA MORTEROS 5KG</t>
  </si>
  <si>
    <t>SIKAFLEX-11FC+ I-CURE ADHESIVO MULTIPROPÓSITO SIN BURBUJAS BLANCO 300ML</t>
  </si>
  <si>
    <t>SIKALATEX MEJORADOR DE ADHERENCIA PARA MORTEROS O CONCRETOS 4.5KG</t>
  </si>
  <si>
    <t>SOLDADURA PARA TUBERÍA DE GAS 95/5 NÚCLEO DE RESINA</t>
  </si>
  <si>
    <t>SOPLETE P/GAS MAP/PRO EN COBRE ANTORCHA MULTIPROPOSIT</t>
  </si>
  <si>
    <t>TEE PRESION DE 2" PVC MARCA PAVCO</t>
  </si>
  <si>
    <t>TOMA AEREA INDUSTRIAL 15 AMP CODELCA CON POLO A TIERRA</t>
  </si>
  <si>
    <t>TORNILLO MADERA AGLOMERADA ZINCADO # 6 X 2" (6U)</t>
  </si>
  <si>
    <t>TORNILLO MADERA AGLOMERADO IRIZADO 6X1-1/4PG 10UND</t>
  </si>
  <si>
    <t>TUBERIA PRESION PVC DE 1 1/4" R DE 21
MARCA GERFOR O PAVCO 6 MTS</t>
  </si>
  <si>
    <t xml:space="preserve">TUBERÍA PVC PRESION 1/2" MARCA PAVCO </t>
  </si>
  <si>
    <t>TUBERÍA PVC PRESION 2" MARCA PAVCO X 6M</t>
  </si>
  <si>
    <t>TUBERÍA PVC PRESION 3/4" MARCA PAVCO X 6M</t>
  </si>
  <si>
    <t>TUBO COBRE M 3/4" PULGADAS</t>
  </si>
  <si>
    <t>TUBO FLUORESCENTE T5 28W 118 CM LUZ FRÍA</t>
  </si>
  <si>
    <t>TUBO SANITARIO PVC 6"</t>
  </si>
  <si>
    <t>UNION CON TOPE COBRE 3/4" PULGADAS</t>
  </si>
  <si>
    <t>UNIÓN GALVANIZADA 3/4"</t>
  </si>
  <si>
    <t>UNION PRESION DE 1 1/4" PVC
MARCA GERFOR O PAVCO</t>
  </si>
  <si>
    <t>UNION PRESION DE 1/2" PVC MARCA PAVCO</t>
  </si>
  <si>
    <t>UNION PRESION DE 2" PVC MARCA PAVCO</t>
  </si>
  <si>
    <t>UNION PRESION DE 3/4" PVC MARCA PAVCO</t>
  </si>
  <si>
    <t>UNION REDUCCION COBRE 1 X 3/4 PULGADAS</t>
  </si>
  <si>
    <t>UNION SANITARIA DE 1 1/2" PVC
MARCA GERFOR O PAVCO</t>
  </si>
  <si>
    <t>UNION SANITARIA DE 2" PVC
MARCA GERFOR O PAVCO</t>
  </si>
  <si>
    <t>UNION SANITARIA PVC 6"</t>
  </si>
  <si>
    <t>UNIÓN UNIVERSAL 3/4 PRESIÓN MARCA PAVCO</t>
  </si>
  <si>
    <t>VÁLVULA TIPO CORTINA DE BRONCE DE 1/2" MARCA RED WHITE - TOYO</t>
  </si>
  <si>
    <t>VÁLVULA TIPO CORTINA DE BRONCE DE 2" MARCA RED WHITE - TOYO</t>
  </si>
  <si>
    <t>VÁLVULA TIPO CORTINA DE BRONCE DE 3/4" MARCA RED WHITE - TOYO</t>
  </si>
  <si>
    <t>SELLANTE IMPERMEABILIZANTE DE VARIOS USOS ACRONAL (GL X 3,785 LT)</t>
  </si>
  <si>
    <t>CABLE7 HILOS THHN/THWN - 2AWG NO.12-LIBRE DE HALOGENO (rollo 50 mts)</t>
  </si>
  <si>
    <t>Repuesto Cartucho Antivandalico Push Lavamanos/Orinal Institucional Cromo</t>
  </si>
  <si>
    <t>https://distribucionespvc.com.co/products/repuesto-cartucho-antivandalico-push-lavamanos-orinal-institucional-cromo</t>
  </si>
  <si>
    <t>https://macontec.com.co/Cartucho-Push-Lavamanos---Orinal-Corona/</t>
  </si>
  <si>
    <t>https://corona.co/productos/griferias/griferias-institucionales/valvula-para-sanitario-push-empotrada-48-litros/p/751250001</t>
  </si>
  <si>
    <t>https://www.comaderas.com/cartucho-valvula-sanitario-empotrada-corona</t>
  </si>
  <si>
    <t>https://www.pamo.co/products/cartucho-antivandalico-sanitario-corona</t>
  </si>
  <si>
    <t>verificar valores</t>
  </si>
  <si>
    <t>Sonda De Acero De 30 Metros Anti-impacto, Mango Ergonómico</t>
  </si>
  <si>
    <t>https://mitiendacoval.com/sanitaria-y-ventilacion-/codo-pvc-sanitario--90-c-x-c-11-2-gerfor</t>
  </si>
  <si>
    <t>https://ferreteriamincho.com/producto/codo-sanitaria-campana-x-campana/</t>
  </si>
  <si>
    <t>https://almacenlicuaollas.com/inicio/79-flexon-1500-cabeza-color.html</t>
  </si>
  <si>
    <t>https://almacenlicuaollas.com/inicio/16-maquinas-duplicadoras.html</t>
  </si>
  <si>
    <t>Tubo rectangular 4x8 cms Cal.18 x 6m</t>
  </si>
  <si>
    <t>https://www.comfer.co/shop/hpe019-tubo-rectang-4x8-6m-cal18-perfiaceros-11253#attr=</t>
  </si>
  <si>
    <t>Pelicula Adhesiva Sandblass Frosted Ancho 1.22m X 1.00m</t>
  </si>
  <si>
    <t>https://www.easy.com.co/perfil-cornisa-blanco-x-3m/p</t>
  </si>
  <si>
    <t>https://www.homecenter.com.co/homecenter-co/product/458340/cornisa-de-pvc-290mt-color-blanco/458340/</t>
  </si>
  <si>
    <t>https://homecenter.falabella.com.co/homecenter-co/product/118836794/Cornisa-de-PVC-2.90mt-Color-Blanco/118836797</t>
  </si>
  <si>
    <t>Cornisa de PVC 2.90 - 3.00 mt Color Blanco</t>
  </si>
  <si>
    <t>PISO VINILICO EN ROLLO TRAFICO RESIDENCIAL REFERENCIA ESSENTIALS 150 CHENE NATURE</t>
  </si>
  <si>
    <t>https://irp.cdn-website.com/66e868e1/files/uploaded/Catalogo-de-productos-pisos_%20Aladino%20Ltda.pdf</t>
  </si>
  <si>
    <t>https://www.homecenter.com.co/homecenter-co/product/51899/reparador-impermeabilizante-xypex-patch-and-plug-5kg-balde/51899/?kid=goosho_1246419&amp;shop=googleShopping&amp;gad_source=1&amp;gclid=Cj0KCQiAzoeuBhDqARIsAMdH14EyEbjRVPWOax05T4FNqnvrCQIzkkXAZIp2kQg1MTaOFwklspDuhFMaAnl8EALw_wcB</t>
  </si>
  <si>
    <t>https://corona.co/productos/griferias/griferias-institucionales/valvula-para-orinal-push-entrada-superior-empotrada/p/751290001</t>
  </si>
  <si>
    <t>https://ferreteriacolombiafc.com/producto/valvula-para-orinal-push-entrada-superior-empotrada/</t>
  </si>
  <si>
    <t>Válvula para Orinal Push Entrada Superior Empotrada</t>
  </si>
  <si>
    <t xml:space="preserve">Tablero TERCOL Bifásico Con Puerta 8 Circuitos 125A Galvanizado </t>
  </si>
  <si>
    <t>https://interelectricas.com.co/tomas-electricas/2758-tapa-para-toma-doble-intemperie.html</t>
  </si>
  <si>
    <t>Tornillo Estructura Fibrocemento Pta Broca 8X1/2 500un</t>
  </si>
  <si>
    <t>https://www.producabos.com/producto/union-galvanizada-de-3-4/</t>
  </si>
  <si>
    <t>https://tectul.com/es/productos/union-galvanizada-roscada</t>
  </si>
  <si>
    <t>Varilla Corrugada G60 W #2 (1/4 Pulg) X 6M</t>
  </si>
  <si>
    <t>Yee 6 Sanitaria</t>
  </si>
  <si>
    <t>DESCRIPCIÓN</t>
  </si>
  <si>
    <t>BULTO</t>
  </si>
  <si>
    <t>LIBRA</t>
  </si>
  <si>
    <t>PAQUETE</t>
  </si>
  <si>
    <t>IVA</t>
  </si>
  <si>
    <t>ANEXO . ESTUDIO DE MERCADO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</si>
  <si>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Elaborado por:</t>
  </si>
  <si>
    <t>Revisado por:</t>
  </si>
  <si>
    <t>LILIANA A.  APARICIO</t>
  </si>
  <si>
    <t>MARCELA MANRIQUE CASTRO</t>
  </si>
  <si>
    <t>CONTRATISTA DIRECCION ADMINISTRATIVA FINANCIERA</t>
  </si>
  <si>
    <t>DIRECTOR ADMINISTRATIVO FINANCIERO</t>
  </si>
  <si>
    <t>FECHA:</t>
  </si>
  <si>
    <t>Aprobado por:</t>
  </si>
  <si>
    <t>PROFESIONAL SUBDIRECCIÓN FINANCIERA</t>
  </si>
  <si>
    <t>SUBDIRECTOR FINANCIERO (e)</t>
  </si>
  <si>
    <t>ITEM</t>
  </si>
  <si>
    <t>DESCRIPCION</t>
  </si>
  <si>
    <t>VALOR UNITARIO SIN IVA</t>
  </si>
  <si>
    <t>VALOR UNITARIO CON IVA</t>
  </si>
  <si>
    <t>PROCESO: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</si>
  <si>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 xml:space="preserve">
PROCESO: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
</t>
  </si>
  <si>
    <t>1025122
SOLUCIÓN FERRETERA PARA COLOMBIA</t>
  </si>
  <si>
    <t>1023778
UT ESTUDIOS 049</t>
  </si>
  <si>
    <t>1024795
NELSON ORLANDO ESPITIA CAMARGO</t>
  </si>
  <si>
    <t>1024810
JAIRO OSORIO CABALLERO</t>
  </si>
  <si>
    <t>1025721
FF SOLUCIONES SA</t>
  </si>
  <si>
    <t>1026548
DISERRA SAS</t>
  </si>
  <si>
    <t>SECRETARIA GENERAL DE LA ALCALDIA MAYOR DE BOGOTA
ESTUDIO DE MERCADO</t>
  </si>
  <si>
    <t>Fecha de elaboración</t>
  </si>
  <si>
    <t xml:space="preserve">AUMENTO </t>
  </si>
  <si>
    <t>MEDIO</t>
  </si>
  <si>
    <t>CANTIDAD</t>
  </si>
  <si>
    <t>BAJO</t>
  </si>
  <si>
    <t>Secop II</t>
  </si>
  <si>
    <t>xx</t>
  </si>
  <si>
    <t>Correo Electrónico</t>
  </si>
  <si>
    <t>Comunicación Escrita</t>
  </si>
  <si>
    <t>Archivos Historicos de la Entidad (contratos o procesos años anteriores)</t>
  </si>
  <si>
    <t>DESVESTA</t>
  </si>
  <si>
    <t>ANALISIS ESTADISTICO</t>
  </si>
  <si>
    <t>SECRETARIA GENERAL DE LA ALCALDIA MAYOR DE BOGOTA</t>
  </si>
  <si>
    <t>PROMEDIO ACOTADO POR DESVIACIÓN ESTANDAR</t>
  </si>
  <si>
    <t>PRECIOS TECHO</t>
  </si>
  <si>
    <t>VALOR SECRETARÍA EGENERAL INCREMENTADO EN EL 20%</t>
  </si>
  <si>
    <t>DESVIACION ESTANDAR</t>
  </si>
  <si>
    <t>% DESVIACION</t>
  </si>
  <si>
    <t>MENOR VALOR ACEPTABLE</t>
  </si>
  <si>
    <t>MAYOR VALOR ACEPTABLE</t>
  </si>
  <si>
    <t>IVA 19%</t>
  </si>
  <si>
    <t>VALOR IVA INCLUIDO</t>
  </si>
  <si>
    <t>CRECIMIENTO RESPECTO VALOR COTIZADO</t>
  </si>
  <si>
    <t>VALOR SECRETARÍA GENERAL INCREMENTADO EN EL 20%</t>
  </si>
  <si>
    <t>20% DE LOS PRECIOS TECHO</t>
  </si>
  <si>
    <t>SUMA</t>
  </si>
  <si>
    <t>PRECIOS TECHO * 20%</t>
  </si>
  <si>
    <t xml:space="preserve">
La entidad estableció un total de 443 ítems, de los cuales 359 hacen parte del catálogo del acuerdo marco y 84 items no están incluidos en dicho catálogo. Por lo cual, la Secretaria General de la Alcaldía Mayor de Bogotá D.C.  realizó las siguientes actividades:
1. Un Sondeo de Mercado liderado por la entidad, para los ítems que no están incluidos en el catálogo del Acuerdo marco de precios
 La entidad realizó el estudio del mercado de los 84 ítems que no están incluidos en el catálogo de precios del Acuerdo Marco de precios, a través las siguientes actividades:
 1. Se obtuvo información via web, a través de paginas especializadas en suministro de elementos de ferretria como www.homecenter.com.co, www.easy.com.co, dewaltcenter.com.co, belltec.com.co,  www.construvirtual.com,  www.aldiaferreteria.com,  www.ffsoluciones.com,  www.mitiendacoval.com, www.edelco.co. www.interelectricas.com.co, www.industriasbiggest.com,  www.inversionesproin.com, asi mismo se solicitó cotizaciones a  Ferretería Rodríguez Aponte,  Ferretería Mafer.
En el ejercicio de análisis de cada uno de los precios  que arrojó la busqueda en la web, para determinar el valor unitario de los ítems se estableció en las formulas estadísticas los valores correspondientes a: a) El valor Máximo, b). El valor promedio; c). el valor mínimo  y d) Media geométrica, el valor más favorable para la entidad fue el arrojado por el indicador de “media geometrica”, según el sondeo realizado. 
Paralelo a lo anterior se realizó el evento de cotización de los items no inlcuidos en el catalogo de precios RFI 170385 en donde participaron las empresas: UT SOLUCIÓN FERRETERIA PARA COLOMBIA, UT ESTUDIOS 049, NELSON ORLANDO ESPITIA CAMARGO, JAIRO OSORIO CABALLERO, FF SOLUCIONES SA Y DISERRA SAS, de los precios arrojados en este evento se realizó el segundo estudio de mercado, en el cual se incluyó el primer sondeo de mercado realizado y aprobado por la Entidad.
Para determinar los precios techo de los ítems no contemplados en el acuerdo marco de precios, se optó por analizar los valores presentados en las 7 cotizaciones que hacen parte del estudio de mercado, a lo cual inicialmente se realizó un ejercicio de estadística descriptiva para conocer las distorsiones en los precios de referencia. Una vez establecidas las distorsiones por medio de la desviación estándar, se procedió a realizar una poda de precios con el propósito de ubicar los precios centrales y proceder a la realización del estudio. 
Una vez concluido el paso anterior, para normalizar la muestra, se aplica un tratamiento estadístico de común aceptación que es el descarte de los valores extremos calculando el promedio acotado por la desviación estándar. La metodología para calcular este promedio consiste en descartar aquellos datos que son superiores al valor resultante de la suma del promedio y una desviación estándar o inferiores al valor resultante de la resta del promedio menos una desviación estándar.
Con el anterior procedimiento tipo túnel, se ha establecido uno a uno el precio de referencia para los ítems no contemplados en el acuerdo marco de precios.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</si>
</sst>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quot;$&quot;\ #,##0.00"/>
    <numFmt numFmtId="165" formatCode="[$$-240A]\ #,##0.00"/>
    <numFmt numFmtId="166" formatCode="&quot;$&quot;\ #,##0"/>
    <numFmt numFmtId="167" formatCode="_-&quot;$&quot;* #,##0_-;\-&quot;$&quot;* #,##0_-;_-&quot;$&quot;* &quot;-&quot;_-;_-@_-"/>
    <numFmt numFmtId="168" formatCode="_-&quot;$&quot;* #,##0.00_-;\-&quot;$&quot;* #,##0.00_-;_-&quot;$&quot;* &quot;-&quot;??_-;_-@_-"/>
  </numFmts>
  <fonts count="34"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u/>
      <sz val="11"/>
      <color rgb="FF000000"/>
      <name val="Calibri"/>
      <family val="2"/>
      <scheme val="minor"/>
    </font>
    <font>
      <b/>
      <sz val="11"/>
      <color rgb="FF000000"/>
      <name val="Calibri"/>
      <family val="2"/>
      <scheme val="minor"/>
    </font>
    <font>
      <sz val="11"/>
      <color rgb="FF000000"/>
      <name val="Arial"/>
      <family val="2"/>
    </font>
    <font>
      <sz val="11"/>
      <name val="Arial"/>
      <family val="2"/>
    </font>
    <font>
      <sz val="15"/>
      <color rgb="FF3A3939"/>
      <name val="Arial"/>
      <family val="2"/>
    </font>
    <font>
      <sz val="11"/>
      <color theme="1"/>
      <name val="Calibri"/>
      <family val="2"/>
      <scheme val="minor"/>
    </font>
    <font>
      <sz val="11"/>
      <name val="Calibri"/>
      <family val="2"/>
      <scheme val="minor"/>
    </font>
    <font>
      <b/>
      <sz val="11"/>
      <name val="Calibri"/>
      <family val="2"/>
      <scheme val="minor"/>
    </font>
    <font>
      <b/>
      <sz val="12"/>
      <name val="Calibri"/>
      <family val="2"/>
      <scheme val="minor"/>
    </font>
    <font>
      <sz val="12"/>
      <color theme="1"/>
      <name val="Calibri"/>
      <family val="2"/>
      <scheme val="minor"/>
    </font>
    <font>
      <sz val="12"/>
      <name val="Calibri"/>
      <family val="2"/>
      <scheme val="minor"/>
    </font>
    <font>
      <b/>
      <sz val="12"/>
      <color indexed="8"/>
      <name val="Calibri"/>
      <family val="2"/>
      <scheme val="minor"/>
    </font>
    <font>
      <sz val="12"/>
      <color indexed="8"/>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9"/>
      <color theme="1"/>
      <name val="Trebuchet MS"/>
      <family val="2"/>
    </font>
    <font>
      <b/>
      <sz val="9"/>
      <color indexed="8"/>
      <name val="Trebuchet MS"/>
      <family val="2"/>
    </font>
    <font>
      <sz val="9"/>
      <name val="Trebuchet MS"/>
      <family val="2"/>
    </font>
    <font>
      <b/>
      <sz val="11"/>
      <color rgb="FFFFFF00"/>
      <name val="Calibri"/>
      <family val="2"/>
      <scheme val="minor"/>
    </font>
    <font>
      <b/>
      <sz val="8"/>
      <color rgb="FFFFFF00"/>
      <name val="Calibri"/>
      <family val="2"/>
      <scheme val="minor"/>
    </font>
    <font>
      <b/>
      <sz val="11"/>
      <color rgb="FFFF0000"/>
      <name val="Calibri"/>
      <family val="2"/>
      <scheme val="minor"/>
    </font>
    <font>
      <b/>
      <sz val="9"/>
      <color theme="1"/>
      <name val="Calibri"/>
      <family val="2"/>
      <scheme val="minor"/>
    </font>
    <font>
      <b/>
      <sz val="9"/>
      <color rgb="FFFFFF00"/>
      <name val="Calibri"/>
      <family val="2"/>
      <scheme val="minor"/>
    </font>
    <font>
      <sz val="9"/>
      <color theme="1"/>
      <name val="Calibri"/>
      <family val="2"/>
      <scheme val="minor"/>
    </font>
    <font>
      <b/>
      <sz val="9"/>
      <color theme="0"/>
      <name val="Calibri"/>
      <family val="2"/>
      <scheme val="minor"/>
    </font>
    <font>
      <sz val="9"/>
      <name val="Arial"/>
      <family val="2"/>
    </font>
    <font>
      <sz val="9"/>
      <color rgb="FF000000"/>
      <name val="Calibri"/>
      <family val="2"/>
      <scheme val="minor"/>
    </font>
    <font>
      <sz val="9"/>
      <color rgb="FFFFFF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4"/>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7030A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8"/>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167" fontId="10" fillId="0" borderId="0" applyFont="0" applyFill="0" applyBorder="0" applyAlignment="0" applyProtection="0"/>
  </cellStyleXfs>
  <cellXfs count="264">
    <xf numFmtId="0" fontId="0" fillId="0" borderId="0" xfId="0"/>
    <xf numFmtId="0" fontId="0" fillId="0" borderId="0" xfId="0" applyAlignment="1">
      <alignment horizontal="center"/>
    </xf>
    <xf numFmtId="164" fontId="0" fillId="3"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xf>
    <xf numFmtId="0" fontId="0" fillId="2" borderId="0" xfId="0" applyFill="1"/>
    <xf numFmtId="0" fontId="6" fillId="2" borderId="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2" borderId="0" xfId="0" applyFill="1" applyBorder="1" applyAlignment="1">
      <alignment horizontal="center" vertical="center"/>
    </xf>
    <xf numFmtId="0" fontId="8" fillId="2" borderId="4" xfId="0" applyFont="1" applyFill="1" applyBorder="1" applyAlignment="1">
      <alignment wrapText="1"/>
    </xf>
    <xf numFmtId="0" fontId="8" fillId="2" borderId="6" xfId="0" applyFont="1" applyFill="1" applyBorder="1" applyAlignment="1">
      <alignment horizontal="center" wrapText="1"/>
    </xf>
    <xf numFmtId="0" fontId="6" fillId="2" borderId="9" xfId="0" applyFont="1" applyFill="1" applyBorder="1" applyAlignment="1">
      <alignment horizontal="center" vertical="center"/>
    </xf>
    <xf numFmtId="0" fontId="0" fillId="0" borderId="1" xfId="0" applyBorder="1" applyAlignment="1">
      <alignment horizontal="center" vertical="center"/>
    </xf>
    <xf numFmtId="0" fontId="8" fillId="2" borderId="0" xfId="0" applyFont="1" applyFill="1" applyBorder="1" applyAlignment="1">
      <alignment wrapText="1"/>
    </xf>
    <xf numFmtId="0" fontId="8" fillId="2" borderId="0" xfId="0" applyFont="1" applyFill="1" applyBorder="1" applyAlignment="1">
      <alignment horizontal="center" wrapText="1"/>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wrapText="1"/>
    </xf>
    <xf numFmtId="0" fontId="8" fillId="2" borderId="2" xfId="0" applyFont="1" applyFill="1" applyBorder="1"/>
    <xf numFmtId="0" fontId="2" fillId="2" borderId="2" xfId="2" applyFill="1" applyBorder="1" applyAlignment="1">
      <alignment wrapText="1"/>
    </xf>
    <xf numFmtId="164" fontId="0" fillId="2" borderId="2" xfId="0" applyNumberFormat="1" applyFill="1" applyBorder="1" applyAlignment="1">
      <alignment horizontal="center" vertical="center"/>
    </xf>
    <xf numFmtId="0" fontId="2" fillId="2" borderId="2" xfId="2"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wrapText="1"/>
    </xf>
    <xf numFmtId="0" fontId="4" fillId="2" borderId="9"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xf>
    <xf numFmtId="0" fontId="5" fillId="2" borderId="2" xfId="2" applyFont="1" applyFill="1" applyBorder="1" applyAlignment="1">
      <alignment horizontal="center" vertical="center" wrapText="1"/>
    </xf>
    <xf numFmtId="0" fontId="8" fillId="2" borderId="2" xfId="0" applyFont="1" applyFill="1" applyBorder="1" applyAlignment="1">
      <alignment horizontal="center" wrapText="1"/>
    </xf>
    <xf numFmtId="0" fontId="8" fillId="2" borderId="2" xfId="0" applyFont="1" applyFill="1" applyBorder="1" applyAlignment="1">
      <alignment wrapText="1"/>
    </xf>
    <xf numFmtId="0" fontId="0" fillId="2" borderId="0" xfId="0" applyFill="1" applyAlignment="1">
      <alignment horizontal="center"/>
    </xf>
    <xf numFmtId="0" fontId="8"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0" fillId="2" borderId="0" xfId="0" applyFill="1" applyAlignment="1">
      <alignment horizontal="center" vertical="center"/>
    </xf>
    <xf numFmtId="0" fontId="2" fillId="2" borderId="2" xfId="2" applyFill="1" applyBorder="1" applyAlignment="1"/>
    <xf numFmtId="0" fontId="7" fillId="2" borderId="2" xfId="0" applyFont="1" applyFill="1" applyBorder="1" applyAlignment="1">
      <alignment horizontal="left" vertical="center"/>
    </xf>
    <xf numFmtId="0" fontId="7" fillId="2" borderId="2" xfId="0" applyFont="1" applyFill="1" applyBorder="1" applyAlignment="1">
      <alignment horizontal="center" vertical="center"/>
    </xf>
    <xf numFmtId="164" fontId="4" fillId="2" borderId="0" xfId="0" applyNumberFormat="1" applyFont="1" applyFill="1" applyBorder="1" applyAlignment="1">
      <alignment horizontal="center" vertical="center"/>
    </xf>
    <xf numFmtId="0" fontId="2" fillId="2" borderId="2" xfId="2" applyFill="1" applyBorder="1" applyAlignment="1">
      <alignment horizontal="center" vertical="center" wrapText="1"/>
    </xf>
    <xf numFmtId="0" fontId="0" fillId="2" borderId="0" xfId="0" applyFill="1" applyBorder="1" applyAlignment="1">
      <alignment horizontal="center" wrapText="1"/>
    </xf>
    <xf numFmtId="164" fontId="0" fillId="2" borderId="0" xfId="0" applyNumberFormat="1" applyFill="1" applyBorder="1" applyAlignment="1">
      <alignment horizontal="center" vertical="center"/>
    </xf>
    <xf numFmtId="0" fontId="0" fillId="2" borderId="2" xfId="0" applyFill="1" applyBorder="1"/>
    <xf numFmtId="0" fontId="3" fillId="2" borderId="0" xfId="0" applyFont="1" applyFill="1" applyAlignment="1">
      <alignment horizontal="center" vertical="center"/>
    </xf>
    <xf numFmtId="0" fontId="5" fillId="2" borderId="2" xfId="1" applyFont="1" applyFill="1" applyBorder="1" applyAlignment="1">
      <alignment horizontal="center" vertical="center" wrapText="1"/>
    </xf>
    <xf numFmtId="0" fontId="7" fillId="2" borderId="2" xfId="0" applyFont="1" applyFill="1" applyBorder="1" applyAlignment="1">
      <alignment horizontal="left" vertical="center" wrapText="1"/>
    </xf>
    <xf numFmtId="0" fontId="4" fillId="2" borderId="2" xfId="0" applyFont="1" applyFill="1" applyBorder="1"/>
    <xf numFmtId="0" fontId="5" fillId="2" borderId="0" xfId="1" applyFont="1" applyFill="1" applyBorder="1" applyAlignment="1">
      <alignment horizontal="center" vertical="center" wrapText="1"/>
    </xf>
    <xf numFmtId="0" fontId="2" fillId="2" borderId="2" xfId="2" applyFill="1" applyBorder="1" applyAlignment="1">
      <alignment horizontal="center" vertical="center"/>
    </xf>
    <xf numFmtId="0" fontId="5" fillId="2" borderId="0" xfId="2" applyFont="1" applyFill="1" applyBorder="1" applyAlignment="1">
      <alignment horizontal="center" vertical="center" wrapText="1"/>
    </xf>
    <xf numFmtId="0" fontId="4" fillId="2" borderId="0" xfId="0" applyFont="1" applyFill="1" applyBorder="1" applyAlignment="1">
      <alignment horizontal="center" vertical="center"/>
    </xf>
    <xf numFmtId="0" fontId="0" fillId="2" borderId="0" xfId="0" applyFill="1" applyBorder="1" applyAlignment="1">
      <alignment horizontal="center" vertical="center" wrapText="1"/>
    </xf>
    <xf numFmtId="0" fontId="8" fillId="2" borderId="2" xfId="0" applyFont="1" applyFill="1" applyBorder="1" applyAlignment="1">
      <alignment horizontal="center"/>
    </xf>
    <xf numFmtId="0" fontId="8"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2" xfId="0" applyFill="1" applyBorder="1" applyAlignment="1">
      <alignment horizontal="center"/>
    </xf>
    <xf numFmtId="0" fontId="3" fillId="2" borderId="1" xfId="0" applyFont="1" applyFill="1" applyBorder="1" applyAlignment="1">
      <alignment horizontal="center" vertical="center"/>
    </xf>
    <xf numFmtId="0" fontId="7" fillId="2"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2" borderId="5" xfId="2" applyFill="1" applyBorder="1" applyAlignment="1">
      <alignment horizontal="center" vertical="center" wrapText="1"/>
    </xf>
    <xf numFmtId="0" fontId="2" fillId="2" borderId="0" xfId="2" applyFill="1" applyBorder="1" applyAlignment="1">
      <alignment horizontal="center" vertical="center" wrapText="1"/>
    </xf>
    <xf numFmtId="0" fontId="2" fillId="2" borderId="0" xfId="2" applyFill="1" applyBorder="1" applyAlignment="1">
      <alignment horizontal="center"/>
    </xf>
    <xf numFmtId="0" fontId="8" fillId="2" borderId="4" xfId="0" applyFont="1" applyFill="1" applyBorder="1" applyAlignment="1">
      <alignment vertical="top" wrapText="1"/>
    </xf>
    <xf numFmtId="0" fontId="2" fillId="2" borderId="5" xfId="2" applyFill="1" applyBorder="1" applyAlignment="1">
      <alignment horizont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5" fillId="2" borderId="5" xfId="2" applyFont="1" applyFill="1" applyBorder="1" applyAlignment="1">
      <alignment horizontal="center" vertical="center" wrapText="1"/>
    </xf>
    <xf numFmtId="0" fontId="8" fillId="2" borderId="4" xfId="0" applyFont="1" applyFill="1" applyBorder="1" applyAlignment="1">
      <alignment horizontal="left" wrapText="1"/>
    </xf>
    <xf numFmtId="0" fontId="8" fillId="2" borderId="6" xfId="0" applyFont="1" applyFill="1" applyBorder="1" applyAlignment="1">
      <alignment wrapText="1"/>
    </xf>
    <xf numFmtId="0" fontId="2" fillId="2" borderId="5" xfId="2" applyFill="1" applyBorder="1" applyAlignment="1">
      <alignment wrapText="1"/>
    </xf>
    <xf numFmtId="0" fontId="2" fillId="2" borderId="0" xfId="2" applyFill="1" applyBorder="1" applyAlignment="1">
      <alignment wrapText="1"/>
    </xf>
    <xf numFmtId="0" fontId="8" fillId="2" borderId="4" xfId="0" applyFont="1" applyFill="1" applyBorder="1" applyAlignment="1">
      <alignment horizontal="left" vertical="center" wrapText="1"/>
    </xf>
    <xf numFmtId="0" fontId="0" fillId="2" borderId="4" xfId="0" applyFill="1" applyBorder="1" applyAlignment="1">
      <alignment horizontal="center" vertical="center" wrapText="1"/>
    </xf>
    <xf numFmtId="0" fontId="2" fillId="2" borderId="7" xfId="2" applyFill="1" applyBorder="1" applyAlignment="1">
      <alignment horizontal="center" wrapText="1"/>
    </xf>
    <xf numFmtId="164" fontId="0" fillId="2" borderId="4" xfId="0" applyNumberFormat="1" applyFill="1" applyBorder="1" applyAlignment="1">
      <alignment horizontal="center" vertical="center"/>
    </xf>
    <xf numFmtId="0" fontId="2" fillId="2" borderId="4" xfId="2" applyFill="1" applyBorder="1" applyAlignment="1">
      <alignment horizontal="center" wrapText="1"/>
    </xf>
    <xf numFmtId="0" fontId="2" fillId="2" borderId="8" xfId="2" applyFill="1" applyBorder="1" applyAlignment="1">
      <alignment horizontal="center" wrapText="1"/>
    </xf>
    <xf numFmtId="0" fontId="2" fillId="2" borderId="0" xfId="2" applyFill="1" applyBorder="1" applyAlignment="1">
      <alignment horizontal="center" wrapText="1"/>
    </xf>
    <xf numFmtId="0" fontId="4" fillId="2" borderId="0" xfId="0" applyFont="1" applyFill="1" applyBorder="1" applyAlignment="1">
      <alignment horizontal="left" vertical="center" wrapText="1"/>
    </xf>
    <xf numFmtId="0" fontId="5" fillId="2" borderId="4" xfId="1"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center" vertical="center" wrapText="1"/>
    </xf>
    <xf numFmtId="164" fontId="0" fillId="2" borderId="0" xfId="0" applyNumberFormat="1" applyFill="1" applyAlignment="1">
      <alignment horizontal="center" vertical="center"/>
    </xf>
    <xf numFmtId="0" fontId="0" fillId="2" borderId="0" xfId="0" applyFill="1" applyAlignment="1">
      <alignment horizontal="center" wrapText="1"/>
    </xf>
    <xf numFmtId="0" fontId="9" fillId="2" borderId="2" xfId="0" applyFont="1" applyFill="1" applyBorder="1" applyAlignment="1">
      <alignment horizontal="left" vertical="center" wrapText="1"/>
    </xf>
    <xf numFmtId="0" fontId="0" fillId="2" borderId="0" xfId="0"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xf>
    <xf numFmtId="164" fontId="11" fillId="3" borderId="0" xfId="0" applyNumberFormat="1" applyFont="1" applyFill="1" applyAlignment="1">
      <alignment horizontal="center" vertical="center"/>
    </xf>
    <xf numFmtId="0" fontId="11" fillId="0" borderId="0" xfId="0" applyFont="1" applyAlignment="1">
      <alignment horizontal="center" wrapText="1"/>
    </xf>
    <xf numFmtId="0" fontId="12"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center" wrapText="1"/>
    </xf>
    <xf numFmtId="0" fontId="15" fillId="0" borderId="0" xfId="0" applyFont="1" applyAlignment="1">
      <alignment wrapText="1"/>
    </xf>
    <xf numFmtId="0" fontId="15"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left" vertical="center" wrapText="1"/>
    </xf>
    <xf numFmtId="165" fontId="14" fillId="0" borderId="0" xfId="0" applyNumberFormat="1" applyFont="1"/>
    <xf numFmtId="3" fontId="14" fillId="0" borderId="0" xfId="0" applyNumberFormat="1" applyFont="1"/>
    <xf numFmtId="1" fontId="14" fillId="0" borderId="0" xfId="0" applyNumberFormat="1" applyFont="1"/>
    <xf numFmtId="0" fontId="15" fillId="0" borderId="0" xfId="0" applyFont="1" applyAlignment="1">
      <alignment vertical="center"/>
    </xf>
    <xf numFmtId="0" fontId="17" fillId="0" borderId="0" xfId="0" applyFont="1" applyAlignment="1">
      <alignment vertical="center"/>
    </xf>
    <xf numFmtId="0" fontId="17" fillId="0" borderId="1" xfId="0" applyFont="1" applyBorder="1" applyAlignment="1">
      <alignment horizontal="center" wrapText="1"/>
    </xf>
    <xf numFmtId="0" fontId="17" fillId="0" borderId="0" xfId="0" applyFont="1" applyAlignment="1">
      <alignment horizontal="center" wrapText="1"/>
    </xf>
    <xf numFmtId="0" fontId="17" fillId="0" borderId="0" xfId="0" applyFont="1"/>
    <xf numFmtId="0" fontId="16" fillId="0" borderId="0" xfId="0" applyFont="1" applyAlignment="1">
      <alignment vertical="center"/>
    </xf>
    <xf numFmtId="0" fontId="0" fillId="0" borderId="0" xfId="0" applyFont="1"/>
    <xf numFmtId="0" fontId="0" fillId="0" borderId="0" xfId="0" applyFont="1" applyAlignment="1">
      <alignment horizontal="left" wrapText="1"/>
    </xf>
    <xf numFmtId="44" fontId="0" fillId="0" borderId="0" xfId="3" applyFont="1"/>
    <xf numFmtId="0" fontId="0" fillId="0" borderId="0" xfId="0" applyFont="1" applyBorder="1"/>
    <xf numFmtId="0" fontId="1" fillId="0" borderId="0" xfId="0" applyFont="1" applyBorder="1" applyAlignment="1">
      <alignment horizontal="center" vertical="center"/>
    </xf>
    <xf numFmtId="0" fontId="19" fillId="0" borderId="0" xfId="0" applyFont="1" applyAlignment="1">
      <alignment wrapText="1"/>
    </xf>
    <xf numFmtId="164" fontId="0" fillId="0" borderId="1" xfId="0" applyNumberFormat="1" applyBorder="1" applyAlignment="1">
      <alignment vertical="center"/>
    </xf>
    <xf numFmtId="164" fontId="1" fillId="0" borderId="28" xfId="0" applyNumberFormat="1" applyFont="1" applyBorder="1"/>
    <xf numFmtId="0" fontId="18" fillId="4" borderId="14" xfId="0" applyFont="1" applyFill="1" applyBorder="1" applyAlignment="1">
      <alignment horizontal="center" vertical="center"/>
    </xf>
    <xf numFmtId="0" fontId="18" fillId="4" borderId="12" xfId="0" applyFont="1" applyFill="1" applyBorder="1" applyAlignment="1">
      <alignment horizontal="center" vertical="center" wrapText="1"/>
    </xf>
    <xf numFmtId="44" fontId="18" fillId="4" borderId="12" xfId="3" applyFont="1" applyFill="1" applyBorder="1" applyAlignment="1">
      <alignment horizontal="center" vertical="center" wrapText="1"/>
    </xf>
    <xf numFmtId="166" fontId="18" fillId="4" borderId="13" xfId="0" applyNumberFormat="1" applyFont="1" applyFill="1" applyBorder="1" applyAlignment="1">
      <alignment horizontal="center" vertical="center" wrapText="1"/>
    </xf>
    <xf numFmtId="0" fontId="0" fillId="2" borderId="15" xfId="0" applyFill="1" applyBorder="1" applyAlignment="1">
      <alignment horizontal="center" vertical="center"/>
    </xf>
    <xf numFmtId="164" fontId="0" fillId="0" borderId="16" xfId="0" applyNumberFormat="1" applyBorder="1" applyAlignment="1">
      <alignment vertical="center"/>
    </xf>
    <xf numFmtId="0" fontId="4" fillId="2" borderId="15"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wrapText="1"/>
    </xf>
    <xf numFmtId="0" fontId="8" fillId="2" borderId="18" xfId="0" applyFont="1" applyFill="1" applyBorder="1" applyAlignment="1">
      <alignment horizontal="center" vertical="center"/>
    </xf>
    <xf numFmtId="164" fontId="0" fillId="0" borderId="18" xfId="0" applyNumberFormat="1" applyBorder="1" applyAlignment="1">
      <alignment vertical="center"/>
    </xf>
    <xf numFmtId="164" fontId="0" fillId="0" borderId="19" xfId="0" applyNumberFormat="1" applyBorder="1" applyAlignment="1">
      <alignment vertical="center"/>
    </xf>
    <xf numFmtId="0" fontId="19" fillId="0" borderId="24" xfId="0" applyFont="1" applyBorder="1" applyAlignment="1">
      <alignment horizontal="center" vertical="center" wrapText="1"/>
    </xf>
    <xf numFmtId="0" fontId="19" fillId="0" borderId="32" xfId="0" applyFont="1" applyBorder="1" applyAlignment="1">
      <alignment horizontal="center" vertical="center" wrapText="1"/>
    </xf>
    <xf numFmtId="0" fontId="20" fillId="0" borderId="0" xfId="0" applyFont="1"/>
    <xf numFmtId="0" fontId="20" fillId="0" borderId="1" xfId="0" applyFont="1" applyBorder="1"/>
    <xf numFmtId="44" fontId="0" fillId="0" borderId="0" xfId="5" applyFont="1"/>
    <xf numFmtId="0" fontId="19" fillId="0" borderId="0" xfId="0" applyFont="1" applyAlignment="1">
      <alignment horizontal="center" vertical="center" wrapText="1"/>
    </xf>
    <xf numFmtId="14" fontId="21" fillId="7" borderId="1" xfId="0" applyNumberFormat="1" applyFont="1" applyFill="1" applyBorder="1" applyAlignment="1">
      <alignment horizontal="center" vertical="center" wrapText="1"/>
    </xf>
    <xf numFmtId="0" fontId="0" fillId="7" borderId="1" xfId="0" applyFill="1" applyBorder="1"/>
    <xf numFmtId="0" fontId="0" fillId="2" borderId="1" xfId="0" applyFill="1" applyBorder="1"/>
    <xf numFmtId="0" fontId="22" fillId="7"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1" fillId="2" borderId="0" xfId="0" applyFont="1" applyFill="1" applyAlignment="1">
      <alignment horizontal="center"/>
    </xf>
    <xf numFmtId="9" fontId="0" fillId="0" borderId="0" xfId="0" applyNumberFormat="1"/>
    <xf numFmtId="44" fontId="1" fillId="0" borderId="1" xfId="5" applyFont="1" applyBorder="1" applyAlignment="1">
      <alignment horizontal="center" vertical="center" wrapText="1"/>
    </xf>
    <xf numFmtId="44" fontId="26" fillId="0" borderId="1" xfId="5" applyFont="1" applyBorder="1" applyAlignment="1">
      <alignment horizontal="center" vertical="center" wrapText="1"/>
    </xf>
    <xf numFmtId="0" fontId="27" fillId="8"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5" borderId="11" xfId="0" applyFont="1" applyFill="1" applyBorder="1" applyAlignment="1">
      <alignment horizontal="center" vertical="center" wrapText="1"/>
    </xf>
    <xf numFmtId="0" fontId="27" fillId="16" borderId="11"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8" fillId="13" borderId="11" xfId="0" applyFont="1" applyFill="1" applyBorder="1" applyAlignment="1">
      <alignment horizontal="center" vertical="center" wrapText="1"/>
    </xf>
    <xf numFmtId="167" fontId="1" fillId="0" borderId="0" xfId="6" applyFont="1" applyAlignment="1">
      <alignment horizontal="center" vertical="center"/>
    </xf>
    <xf numFmtId="9" fontId="29" fillId="0" borderId="1" xfId="4" applyFont="1" applyBorder="1" applyAlignment="1">
      <alignment horizontal="center" vertical="center"/>
    </xf>
    <xf numFmtId="9" fontId="29" fillId="0" borderId="0" xfId="4" applyFont="1" applyBorder="1" applyAlignment="1">
      <alignment horizontal="center" vertical="center"/>
    </xf>
    <xf numFmtId="9" fontId="0" fillId="0" borderId="0" xfId="4" applyFont="1"/>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44" fontId="30" fillId="4" borderId="1" xfId="5" applyFont="1" applyFill="1" applyBorder="1" applyAlignment="1">
      <alignment horizontal="center" vertical="center" wrapText="1"/>
    </xf>
    <xf numFmtId="166" fontId="30" fillId="4" borderId="1" xfId="0" applyNumberFormat="1" applyFont="1" applyFill="1" applyBorder="1" applyAlignment="1">
      <alignment horizontal="center" vertical="center" wrapText="1"/>
    </xf>
    <xf numFmtId="166" fontId="30" fillId="2" borderId="0" xfId="0" applyNumberFormat="1" applyFont="1" applyFill="1" applyAlignment="1">
      <alignment horizontal="center" vertical="center" wrapText="1"/>
    </xf>
    <xf numFmtId="0" fontId="29" fillId="0" borderId="0" xfId="0" applyFont="1"/>
    <xf numFmtId="0" fontId="27"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29" fillId="2" borderId="15" xfId="0" applyFont="1" applyFill="1" applyBorder="1" applyAlignment="1">
      <alignment horizontal="center" vertical="center"/>
    </xf>
    <xf numFmtId="0" fontId="29"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44" fontId="29" fillId="5" borderId="1" xfId="5" applyFont="1" applyFill="1" applyBorder="1" applyAlignment="1">
      <alignment vertical="center"/>
    </xf>
    <xf numFmtId="164" fontId="29" fillId="0" borderId="1" xfId="0" applyNumberFormat="1" applyFont="1" applyBorder="1" applyAlignment="1">
      <alignment vertical="center"/>
    </xf>
    <xf numFmtId="44" fontId="29" fillId="2" borderId="1" xfId="5" applyFont="1" applyFill="1" applyBorder="1" applyAlignment="1">
      <alignment vertical="center"/>
    </xf>
    <xf numFmtId="0" fontId="29" fillId="0" borderId="1" xfId="0" applyFont="1" applyBorder="1" applyAlignment="1">
      <alignment vertical="center"/>
    </xf>
    <xf numFmtId="44" fontId="29" fillId="0" borderId="1" xfId="5" applyFont="1" applyBorder="1" applyAlignment="1">
      <alignment vertical="center"/>
    </xf>
    <xf numFmtId="44" fontId="29" fillId="5" borderId="1" xfId="5" applyFont="1" applyFill="1" applyBorder="1" applyAlignment="1">
      <alignment vertical="center" wrapText="1"/>
    </xf>
    <xf numFmtId="44" fontId="29" fillId="13" borderId="1" xfId="5" applyFont="1" applyFill="1" applyBorder="1" applyAlignment="1">
      <alignment vertical="center"/>
    </xf>
    <xf numFmtId="167" fontId="29" fillId="0" borderId="1" xfId="6" applyFont="1" applyBorder="1" applyAlignment="1">
      <alignment vertical="center"/>
    </xf>
    <xf numFmtId="44" fontId="27" fillId="0" borderId="1" xfId="5" applyFont="1" applyFill="1" applyBorder="1" applyAlignment="1">
      <alignment vertical="center"/>
    </xf>
    <xf numFmtId="44" fontId="29" fillId="2" borderId="0" xfId="5" applyFont="1" applyFill="1" applyBorder="1" applyAlignment="1">
      <alignment vertical="center"/>
    </xf>
    <xf numFmtId="44" fontId="29" fillId="12" borderId="1" xfId="5" applyFont="1" applyFill="1" applyBorder="1" applyAlignment="1">
      <alignment vertical="center"/>
    </xf>
    <xf numFmtId="44" fontId="29" fillId="0" borderId="1" xfId="0" applyNumberFormat="1" applyFont="1" applyBorder="1"/>
    <xf numFmtId="44" fontId="27" fillId="12" borderId="1" xfId="5" applyFont="1" applyFill="1" applyBorder="1" applyAlignment="1">
      <alignment vertical="center"/>
    </xf>
    <xf numFmtId="167" fontId="29" fillId="0" borderId="0" xfId="4" applyNumberFormat="1" applyFont="1" applyBorder="1" applyAlignment="1">
      <alignment horizontal="center" vertical="center"/>
    </xf>
    <xf numFmtId="167" fontId="29" fillId="0" borderId="0" xfId="6" applyFont="1" applyAlignment="1">
      <alignment horizontal="center" vertical="center"/>
    </xf>
    <xf numFmtId="168" fontId="29" fillId="0" borderId="0" xfId="0" applyNumberFormat="1" applyFont="1"/>
    <xf numFmtId="44" fontId="27" fillId="5" borderId="1" xfId="5" applyFont="1" applyFill="1" applyBorder="1" applyAlignment="1">
      <alignment vertical="center"/>
    </xf>
    <xf numFmtId="44" fontId="29" fillId="13" borderId="1" xfId="5" applyFont="1" applyFill="1" applyBorder="1" applyAlignment="1">
      <alignment vertical="center" wrapText="1"/>
    </xf>
    <xf numFmtId="0" fontId="32" fillId="2" borderId="1" xfId="0" applyFont="1" applyFill="1" applyBorder="1" applyAlignment="1">
      <alignment horizontal="center" vertical="center" wrapText="1"/>
    </xf>
    <xf numFmtId="44" fontId="29" fillId="0" borderId="1" xfId="5" applyFont="1" applyFill="1" applyBorder="1" applyAlignment="1">
      <alignment vertical="center"/>
    </xf>
    <xf numFmtId="44" fontId="29" fillId="0" borderId="1" xfId="5" applyFont="1" applyFill="1" applyBorder="1" applyAlignment="1">
      <alignment vertical="center" wrapText="1"/>
    </xf>
    <xf numFmtId="0" fontId="32" fillId="2" borderId="15" xfId="0" applyFont="1" applyFill="1" applyBorder="1" applyAlignment="1">
      <alignment horizontal="center" vertical="center"/>
    </xf>
    <xf numFmtId="0" fontId="29" fillId="13" borderId="1" xfId="0" applyFont="1" applyFill="1" applyBorder="1" applyAlignment="1">
      <alignment vertical="center"/>
    </xf>
    <xf numFmtId="167" fontId="29" fillId="13" borderId="1" xfId="6" applyFont="1" applyFill="1" applyBorder="1" applyAlignment="1">
      <alignment vertical="center"/>
    </xf>
    <xf numFmtId="44" fontId="27" fillId="13" borderId="1" xfId="5" applyFont="1" applyFill="1" applyBorder="1" applyAlignment="1">
      <alignment vertical="center"/>
    </xf>
    <xf numFmtId="44" fontId="29" fillId="17" borderId="1" xfId="5" applyFont="1" applyFill="1" applyBorder="1" applyAlignment="1">
      <alignment vertical="center"/>
    </xf>
    <xf numFmtId="167" fontId="29" fillId="17" borderId="1" xfId="6" applyFont="1" applyFill="1" applyBorder="1" applyAlignment="1">
      <alignment vertical="center"/>
    </xf>
    <xf numFmtId="167" fontId="29" fillId="12" borderId="1" xfId="6" applyFont="1" applyFill="1" applyBorder="1" applyAlignment="1">
      <alignment vertical="center"/>
    </xf>
    <xf numFmtId="44" fontId="33" fillId="0" borderId="1" xfId="5" applyFont="1" applyBorder="1" applyAlignment="1">
      <alignment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wrapText="1"/>
    </xf>
    <xf numFmtId="0" fontId="31" fillId="2" borderId="18" xfId="0" applyFont="1" applyFill="1" applyBorder="1" applyAlignment="1">
      <alignment horizontal="center" vertical="center"/>
    </xf>
    <xf numFmtId="44" fontId="29" fillId="2" borderId="11" xfId="5" applyFont="1" applyFill="1" applyBorder="1" applyAlignment="1">
      <alignment vertical="center"/>
    </xf>
    <xf numFmtId="44" fontId="29" fillId="5" borderId="11" xfId="5" applyFont="1" applyFill="1" applyBorder="1" applyAlignment="1">
      <alignment vertical="center" wrapText="1"/>
    </xf>
    <xf numFmtId="44" fontId="19" fillId="6" borderId="1" xfId="5" applyFont="1" applyFill="1" applyBorder="1"/>
    <xf numFmtId="164" fontId="20" fillId="0" borderId="10" xfId="0" applyNumberFormat="1" applyFont="1" applyBorder="1" applyAlignment="1">
      <alignment vertical="center"/>
    </xf>
    <xf numFmtId="44" fontId="19" fillId="2" borderId="0" xfId="5" applyFont="1" applyFill="1" applyBorder="1"/>
    <xf numFmtId="0" fontId="20" fillId="2" borderId="0" xfId="0" applyFont="1" applyFill="1"/>
    <xf numFmtId="164" fontId="1" fillId="0" borderId="0" xfId="0" applyNumberFormat="1" applyFont="1"/>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24" fillId="13" borderId="1" xfId="0" applyFont="1" applyFill="1" applyBorder="1" applyAlignment="1">
      <alignment horizontal="center" wrapText="1"/>
    </xf>
    <xf numFmtId="0" fontId="24" fillId="13" borderId="1" xfId="0" applyFont="1" applyFill="1" applyBorder="1" applyAlignment="1">
      <alignment horizontal="center"/>
    </xf>
    <xf numFmtId="0" fontId="25" fillId="13" borderId="7" xfId="0" applyFont="1" applyFill="1" applyBorder="1" applyAlignment="1">
      <alignment horizontal="center" wrapText="1"/>
    </xf>
    <xf numFmtId="0" fontId="25" fillId="13" borderId="4" xfId="0" applyFont="1" applyFill="1" applyBorder="1" applyAlignment="1">
      <alignment horizontal="center" wrapText="1"/>
    </xf>
    <xf numFmtId="0" fontId="25" fillId="13" borderId="8" xfId="0" applyFont="1" applyFill="1" applyBorder="1" applyAlignment="1">
      <alignment horizontal="center" wrapText="1"/>
    </xf>
    <xf numFmtId="0" fontId="27" fillId="7" borderId="7"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11" xfId="0" quotePrefix="1" applyFont="1" applyFill="1" applyBorder="1" applyAlignment="1">
      <alignment horizontal="center" vertical="center" wrapText="1"/>
    </xf>
    <xf numFmtId="0" fontId="27" fillId="7" borderId="6" xfId="0" quotePrefix="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3" fillId="7" borderId="1" xfId="0" applyFont="1" applyFill="1" applyBorder="1" applyAlignment="1">
      <alignment horizontal="left" wrapText="1"/>
    </xf>
    <xf numFmtId="44" fontId="1" fillId="8" borderId="1" xfId="5"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24" xfId="0" applyFont="1" applyBorder="1" applyAlignment="1">
      <alignment horizontal="center" vertical="center" wrapText="1"/>
    </xf>
    <xf numFmtId="0" fontId="19" fillId="0" borderId="32" xfId="0" applyFont="1" applyBorder="1" applyAlignment="1">
      <alignment horizontal="center" vertical="center" wrapText="1"/>
    </xf>
    <xf numFmtId="0" fontId="21" fillId="7" borderId="1" xfId="0" applyFont="1" applyFill="1" applyBorder="1" applyAlignment="1">
      <alignment horizontal="left" vertical="center" wrapText="1"/>
    </xf>
    <xf numFmtId="0" fontId="22" fillId="7" borderId="1" xfId="0" applyFont="1" applyFill="1" applyBorder="1" applyAlignment="1">
      <alignment horizontal="center" vertical="center"/>
    </xf>
    <xf numFmtId="0" fontId="17"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2" borderId="23" xfId="0" applyFont="1" applyFill="1" applyBorder="1" applyAlignment="1">
      <alignment horizontal="center" vertical="center"/>
    </xf>
    <xf numFmtId="0" fontId="15" fillId="0" borderId="25" xfId="0" quotePrefix="1" applyFont="1" applyBorder="1" applyAlignment="1">
      <alignment horizontal="left" vertical="center" wrapText="1"/>
    </xf>
    <xf numFmtId="0" fontId="15" fillId="0" borderId="26" xfId="0" quotePrefix="1" applyFont="1" applyBorder="1" applyAlignment="1">
      <alignment horizontal="left" vertical="center" wrapText="1"/>
    </xf>
    <xf numFmtId="0" fontId="15" fillId="0" borderId="27" xfId="0" quotePrefix="1" applyFont="1" applyBorder="1" applyAlignment="1">
      <alignment horizontal="left" vertical="center" wrapText="1"/>
    </xf>
    <xf numFmtId="17" fontId="17" fillId="0" borderId="1" xfId="0" applyNumberFormat="1" applyFont="1" applyBorder="1" applyAlignment="1">
      <alignment horizontal="center"/>
    </xf>
    <xf numFmtId="0" fontId="17" fillId="0" borderId="1" xfId="0" applyFont="1" applyBorder="1" applyAlignment="1">
      <alignment horizontal="center"/>
    </xf>
    <xf numFmtId="0" fontId="17" fillId="0" borderId="0" xfId="0" applyFont="1" applyAlignment="1">
      <alignment horizont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3" fontId="17" fillId="0" borderId="24" xfId="0" applyNumberFormat="1" applyFont="1" applyBorder="1" applyAlignment="1">
      <alignment horizontal="center" vertical="center"/>
    </xf>
    <xf numFmtId="0" fontId="19" fillId="0" borderId="1" xfId="0" applyFont="1" applyBorder="1" applyAlignment="1">
      <alignment horizontal="center" wrapText="1"/>
    </xf>
    <xf numFmtId="0" fontId="12" fillId="2" borderId="2" xfId="0" applyFont="1" applyFill="1" applyBorder="1" applyAlignment="1">
      <alignment horizontal="center" vertical="center"/>
    </xf>
  </cellXfs>
  <cellStyles count="7">
    <cellStyle name="Hipervínculo" xfId="1" builtinId="8"/>
    <cellStyle name="Hyperlink" xfId="2"/>
    <cellStyle name="Moneda" xfId="3" builtinId="4"/>
    <cellStyle name="Moneda [0] 2" xfId="6"/>
    <cellStyle name="Moneda 2" xfId="5"/>
    <cellStyle name="Normal" xfId="0" builtinId="0"/>
    <cellStyle name="Porcentaje" xfId="4"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mitiendacoval.com/sanitaria-y-ventilacion-/codo-90-x-2-cxc-sanitaria" TargetMode="External"/><Relationship Id="rId13" Type="http://schemas.openxmlformats.org/officeDocument/2006/relationships/hyperlink" Target="https://www.homecenter.com.co/homecenter-co/product/65893/tubo-3-4x6m-presion-21-200-psi/65893/" TargetMode="External"/><Relationship Id="rId18" Type="http://schemas.openxmlformats.org/officeDocument/2006/relationships/hyperlink" Target="https://homecenter.falabella.com.co/homecenter-co/product/118874207/Granito-blanco-20-kilos/118874211?exp=homecenter" TargetMode="External"/><Relationship Id="rId26" Type="http://schemas.openxmlformats.org/officeDocument/2006/relationships/hyperlink" Target="https://www.homecenter.com.co/homecenter-co/product/117567/tubo-presion-6-mts-rde-21-200-psi-1-1-4-pulg/117567/" TargetMode="External"/><Relationship Id="rId3" Type="http://schemas.openxmlformats.org/officeDocument/2006/relationships/hyperlink" Target="https://www.homecenter.com.co/homecenter-co/product/77643/tubo-cobre-m-3-4-pulgadas-6-metros/77643/" TargetMode="External"/><Relationship Id="rId21" Type="http://schemas.openxmlformats.org/officeDocument/2006/relationships/hyperlink" Target="https://homecenter.falabella.com.co/homecenter-co/product/119196698/Paquete-x-2-Unidades-Escurridor-Multiusos/119196704" TargetMode="External"/><Relationship Id="rId7" Type="http://schemas.openxmlformats.org/officeDocument/2006/relationships/hyperlink" Target="https://www.easy.com.co/tubo-pvc-presion-1-14x6m-rde-21-gerfor/p" TargetMode="External"/><Relationship Id="rId12" Type="http://schemas.openxmlformats.org/officeDocument/2006/relationships/hyperlink" Target="https://www.homecenter.com.co/homecenter-co/product/65897/tubo-2x6m-presion-21-200-psi/65897/" TargetMode="External"/><Relationship Id="rId17" Type="http://schemas.openxmlformats.org/officeDocument/2006/relationships/hyperlink" Target="https://www.homecenter.com.co/homecenter-co/product/04862/granito-blanco-20-kilos/04862/" TargetMode="External"/><Relationship Id="rId25" Type="http://schemas.openxmlformats.org/officeDocument/2006/relationships/hyperlink" Target="https://mitiendacoval.com/redes-internas-gas-/tubo-cobre-tipo-l-3-4-pg-x-6-metros" TargetMode="External"/><Relationship Id="rId2" Type="http://schemas.openxmlformats.org/officeDocument/2006/relationships/hyperlink" Target="https://interelectricas.com.co/articulos-electricos/2758-tapa-para-toma-doble-intemperie.html" TargetMode="External"/><Relationship Id="rId16" Type="http://schemas.openxmlformats.org/officeDocument/2006/relationships/hyperlink" Target="https://depositolaramada.com/producto/tubo-presion-2-rde-21-200-lb-mt-pavco/" TargetMode="External"/><Relationship Id="rId20" Type="http://schemas.openxmlformats.org/officeDocument/2006/relationships/hyperlink" Target="https://www.homecenter.com.co/homecenter-co/product/421774/paquete-x-2-unidades-escurridor-multiusos/421774/" TargetMode="External"/><Relationship Id="rId29" Type="http://schemas.openxmlformats.org/officeDocument/2006/relationships/hyperlink" Target="https://www.homecenter.com.co/homecenter-co/product/337537/copa-diamantada-1-3-8-pulg-ubermann/337537/" TargetMode="External"/><Relationship Id="rId1" Type="http://schemas.openxmlformats.org/officeDocument/2006/relationships/hyperlink" Target="https://vinisol.com.co/catalogo/essentials-150-chene-nature/" TargetMode="External"/><Relationship Id="rId6" Type="http://schemas.openxmlformats.org/officeDocument/2006/relationships/hyperlink" Target="https://chp.com.co/construccion/tuberia-pvc-y-accesorios/codo-cxc-90-sanitaria.html" TargetMode="External"/><Relationship Id="rId11" Type="http://schemas.openxmlformats.org/officeDocument/2006/relationships/hyperlink" Target="https://ferropaz.com/index.php?id_product=6&amp;controller=product" TargetMode="External"/><Relationship Id="rId24" Type="http://schemas.openxmlformats.org/officeDocument/2006/relationships/hyperlink" Target="https://interelectricas.com.co/articulos-electricos/2758-tapa-para-toma-doble-intemperie.html" TargetMode="External"/><Relationship Id="rId5" Type="http://schemas.openxmlformats.org/officeDocument/2006/relationships/hyperlink" Target="https://mitiendacoval.com/redes-internas-gas-/tubo-cobre-tipo-l-3-4-pg-x-6-metros" TargetMode="External"/><Relationship Id="rId15" Type="http://schemas.openxmlformats.org/officeDocument/2006/relationships/hyperlink" Target="https://www.construmole.com/producto/tubo-presion-2-x-6mts-rde-21-200-psi-pavco/" TargetMode="External"/><Relationship Id="rId23" Type="http://schemas.openxmlformats.org/officeDocument/2006/relationships/hyperlink" Target="http://www.eich.com.co/" TargetMode="External"/><Relationship Id="rId28" Type="http://schemas.openxmlformats.org/officeDocument/2006/relationships/hyperlink" Target="https://homecenter.falabella.com.co/homecenter-co/product/118834719/Tornillo-Madera-Aglomerado-Irizado-6x1-1-4pg-10und/118834720" TargetMode="External"/><Relationship Id="rId10" Type="http://schemas.openxmlformats.org/officeDocument/2006/relationships/hyperlink" Target="https://solotejas.com/producto/perfil-4-x-8-acero-calibre-18/" TargetMode="External"/><Relationship Id="rId19" Type="http://schemas.openxmlformats.org/officeDocument/2006/relationships/hyperlink" Target="https://interelectricas.com.co/paneles-led/1881-base-o-marco-incrustar-panel-led-60-x-60.html" TargetMode="External"/><Relationship Id="rId4" Type="http://schemas.openxmlformats.org/officeDocument/2006/relationships/hyperlink" Target="https://www.linio.com.co/p/tubo-de-cobre-tipo-l-3-4-pg-x-3m-lfomk0?adjust_t=1zira0_f1h7ws&amp;adjust_google_network=g&amp;adjust_google_placement=&amp;adjust_campaign=LICO-LAB-TC-INSTI-LOC-00017-Product_Pages-Oct19-GG-DSA-Conversion-Mix&amp;adjust_adgroup=131617331194&amp;gclid=Cj0KCQjwjryjBhD0ARIsAMLvnF8clDnlIPYP06BRs-YA7UmfLImzZ3PlRRIp1MEuDscNzpKYgDpymDkaArA9EALw_wcB" TargetMode="External"/><Relationship Id="rId9" Type="http://schemas.openxmlformats.org/officeDocument/2006/relationships/hyperlink" Target="https://www.homecenter.com.co/homecenter-co/product/117567/tubo-presion-6-mts-rde-21-200-psi-1-1-4-pulg/117567/" TargetMode="External"/><Relationship Id="rId14" Type="http://schemas.openxmlformats.org/officeDocument/2006/relationships/hyperlink" Target="https://www.homecenter.com.co/homecenter-co/product/240040/buje-soldado-2x3-4-presion/240040/" TargetMode="External"/><Relationship Id="rId22" Type="http://schemas.openxmlformats.org/officeDocument/2006/relationships/hyperlink" Target="https://www.homecenter.com.co/homecenter-co/product/290612/tubo-fluorescente-t5-28w-118-cm-luz-fria/290612/" TargetMode="External"/><Relationship Id="rId27" Type="http://schemas.openxmlformats.org/officeDocument/2006/relationships/hyperlink" Target="https://www.homecenter.com.co/homecenter-co/product/592993/tornillo-madera-aglomerada-zincado-6-x-2-6u/592993/"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8"/>
  <sheetViews>
    <sheetView topLeftCell="AN1" zoomScale="122" zoomScaleNormal="122" workbookViewId="0">
      <selection activeCell="B10" sqref="B10"/>
    </sheetView>
  </sheetViews>
  <sheetFormatPr baseColWidth="10" defaultRowHeight="15" x14ac:dyDescent="0.25"/>
  <cols>
    <col min="1" max="1" width="7.85546875" customWidth="1"/>
    <col min="2" max="2" width="47.7109375" customWidth="1"/>
    <col min="3" max="3" width="11" customWidth="1"/>
    <col min="4" max="4" width="18.7109375" style="139" customWidth="1"/>
    <col min="5" max="5" width="14.5703125" hidden="1" customWidth="1"/>
    <col min="6" max="6" width="15.5703125" style="139" hidden="1" customWidth="1"/>
    <col min="7" max="7" width="15.85546875" style="139" bestFit="1" customWidth="1"/>
    <col min="8" max="8" width="14.5703125" hidden="1" customWidth="1"/>
    <col min="9" max="9" width="15.5703125" style="139" hidden="1" customWidth="1"/>
    <col min="10" max="10" width="16" style="139" customWidth="1"/>
    <col min="11" max="11" width="14.5703125" hidden="1" customWidth="1"/>
    <col min="12" max="12" width="14.5703125" style="139" hidden="1" customWidth="1"/>
    <col min="13" max="13" width="16.85546875" style="139" bestFit="1" customWidth="1"/>
    <col min="14" max="14" width="14.5703125" hidden="1" customWidth="1"/>
    <col min="15" max="15" width="15.5703125" style="139" hidden="1" customWidth="1"/>
    <col min="16" max="16" width="16.85546875" style="139" bestFit="1" customWidth="1"/>
    <col min="17" max="17" width="14.5703125" hidden="1" customWidth="1"/>
    <col min="18" max="18" width="15.5703125" style="139" hidden="1" customWidth="1"/>
    <col min="19" max="19" width="16.85546875" style="139" bestFit="1" customWidth="1"/>
    <col min="20" max="20" width="14.5703125" hidden="1" customWidth="1"/>
    <col min="21" max="21" width="15.5703125" style="139" hidden="1" customWidth="1"/>
    <col min="22" max="22" width="15.85546875" style="139" bestFit="1" customWidth="1"/>
    <col min="23" max="23" width="14.5703125" customWidth="1"/>
    <col min="24" max="24" width="15.5703125" customWidth="1"/>
    <col min="25" max="25" width="3.42578125" style="6" customWidth="1"/>
    <col min="26" max="26" width="26.28515625" style="6" customWidth="1"/>
    <col min="27" max="27" width="11.5703125" customWidth="1"/>
    <col min="28" max="28" width="14.140625" customWidth="1"/>
    <col min="29" max="29" width="16.7109375" customWidth="1"/>
    <col min="31" max="31" width="14.85546875" customWidth="1"/>
    <col min="32" max="32" width="13" customWidth="1"/>
    <col min="34" max="34" width="28.85546875" customWidth="1"/>
    <col min="35" max="35" width="28.7109375" customWidth="1"/>
    <col min="36" max="36" width="32" customWidth="1"/>
    <col min="37" max="37" width="22.7109375" bestFit="1" customWidth="1"/>
    <col min="38" max="39" width="22.7109375" customWidth="1"/>
    <col min="40" max="40" width="25.28515625" customWidth="1"/>
    <col min="41" max="41" width="18.28515625" customWidth="1"/>
    <col min="43" max="43" width="13" bestFit="1" customWidth="1"/>
    <col min="45" max="45" width="12.5703125" bestFit="1" customWidth="1"/>
    <col min="47" max="49" width="14.5703125" hidden="1" customWidth="1"/>
    <col min="51" max="52" width="19.42578125" hidden="1" customWidth="1"/>
    <col min="53" max="53" width="19.42578125" customWidth="1"/>
    <col min="55" max="55" width="20.7109375" hidden="1" customWidth="1"/>
    <col min="56" max="56" width="0" hidden="1" customWidth="1"/>
    <col min="57" max="57" width="17.85546875" hidden="1" customWidth="1"/>
    <col min="58" max="58" width="0" hidden="1" customWidth="1"/>
    <col min="59" max="59" width="21.5703125" hidden="1" customWidth="1"/>
    <col min="60" max="60" width="0" hidden="1" customWidth="1"/>
  </cols>
  <sheetData>
    <row r="1" spans="1:60" ht="15" customHeight="1" x14ac:dyDescent="0.25">
      <c r="A1" s="237" t="s">
        <v>256</v>
      </c>
      <c r="B1" s="238"/>
      <c r="C1" s="238"/>
      <c r="D1" s="238"/>
      <c r="E1" s="238"/>
      <c r="F1" s="238"/>
      <c r="G1" s="238"/>
      <c r="H1" s="238"/>
      <c r="I1" s="238"/>
      <c r="J1" s="238"/>
      <c r="K1" s="238"/>
      <c r="L1" s="238"/>
      <c r="M1" s="238"/>
      <c r="N1" s="238"/>
      <c r="O1" s="238"/>
      <c r="P1" s="238"/>
      <c r="Q1" s="238"/>
      <c r="R1" s="238"/>
      <c r="S1" s="238"/>
      <c r="T1" s="238"/>
      <c r="U1" s="239"/>
    </row>
    <row r="2" spans="1:60" ht="48.75" customHeight="1" x14ac:dyDescent="0.25">
      <c r="A2" s="240"/>
      <c r="B2" s="241"/>
      <c r="C2" s="241"/>
      <c r="D2" s="242"/>
      <c r="E2" s="242"/>
      <c r="F2" s="242"/>
      <c r="G2" s="242"/>
      <c r="H2" s="242"/>
      <c r="I2" s="242"/>
      <c r="J2" s="242"/>
      <c r="K2" s="242"/>
      <c r="L2" s="242"/>
      <c r="M2" s="242"/>
      <c r="N2" s="242"/>
      <c r="O2" s="242"/>
      <c r="P2" s="242"/>
      <c r="Q2" s="242"/>
      <c r="R2" s="242"/>
      <c r="S2" s="242"/>
      <c r="T2" s="242"/>
      <c r="U2" s="243"/>
    </row>
    <row r="3" spans="1:60" ht="15.6" hidden="1" customHeight="1" x14ac:dyDescent="0.25">
      <c r="A3" s="140"/>
      <c r="B3" s="140"/>
      <c r="C3" s="140"/>
      <c r="D3" s="244" t="s">
        <v>264</v>
      </c>
      <c r="E3" s="244"/>
      <c r="F3" s="141">
        <v>45028</v>
      </c>
      <c r="G3" s="142"/>
      <c r="H3" s="143"/>
      <c r="I3" s="135"/>
      <c r="J3" s="135"/>
      <c r="K3" s="135"/>
      <c r="L3" s="135"/>
      <c r="M3" s="135"/>
      <c r="N3" s="135"/>
      <c r="O3" s="135"/>
      <c r="P3" s="135"/>
      <c r="Q3" s="135"/>
      <c r="R3" s="135"/>
      <c r="S3" s="135"/>
      <c r="T3" s="135"/>
      <c r="U3" s="136"/>
      <c r="AZ3" t="s">
        <v>265</v>
      </c>
    </row>
    <row r="4" spans="1:60" ht="16.149999999999999" hidden="1" customHeight="1" x14ac:dyDescent="0.25">
      <c r="A4" s="140"/>
      <c r="B4" s="140"/>
      <c r="C4" s="140"/>
      <c r="D4" s="245" t="s">
        <v>266</v>
      </c>
      <c r="E4" s="245"/>
      <c r="F4" s="245"/>
      <c r="G4" s="245"/>
      <c r="H4" s="144" t="s">
        <v>267</v>
      </c>
      <c r="I4" s="135"/>
      <c r="J4" s="135"/>
      <c r="K4" s="135"/>
      <c r="L4" s="135"/>
      <c r="M4" s="135"/>
      <c r="N4" s="135"/>
      <c r="O4" s="135"/>
      <c r="P4" s="135"/>
      <c r="Q4" s="135"/>
      <c r="R4" s="135"/>
      <c r="S4" s="135"/>
      <c r="T4" s="135"/>
      <c r="U4" s="136"/>
      <c r="AZ4" t="s">
        <v>268</v>
      </c>
    </row>
    <row r="5" spans="1:60" ht="13.9" hidden="1" customHeight="1" x14ac:dyDescent="0.35">
      <c r="A5" s="140"/>
      <c r="B5" s="140"/>
      <c r="C5" s="140"/>
      <c r="D5" s="227" t="s">
        <v>269</v>
      </c>
      <c r="E5" s="227"/>
      <c r="F5" s="227"/>
      <c r="G5" s="227"/>
      <c r="H5" s="145" t="s">
        <v>270</v>
      </c>
      <c r="I5" s="135"/>
      <c r="J5" s="135"/>
      <c r="K5" s="135"/>
      <c r="L5" s="135"/>
      <c r="M5" s="135"/>
      <c r="N5" s="135"/>
      <c r="O5" s="135"/>
      <c r="P5" s="135"/>
      <c r="Q5" s="135"/>
      <c r="R5" s="135"/>
      <c r="S5" s="135"/>
      <c r="T5" s="135"/>
      <c r="U5" s="136"/>
    </row>
    <row r="6" spans="1:60" ht="11.45" hidden="1" customHeight="1" x14ac:dyDescent="0.35">
      <c r="A6" s="140"/>
      <c r="B6" s="140"/>
      <c r="C6" s="140"/>
      <c r="D6" s="227" t="s">
        <v>271</v>
      </c>
      <c r="E6" s="227"/>
      <c r="F6" s="227"/>
      <c r="G6" s="227"/>
      <c r="H6" s="145">
        <v>4</v>
      </c>
      <c r="I6" s="135"/>
      <c r="J6" s="135"/>
      <c r="K6" s="135"/>
      <c r="L6" s="135"/>
      <c r="M6" s="135"/>
      <c r="N6" s="135"/>
      <c r="O6" s="135"/>
      <c r="P6" s="135"/>
      <c r="Q6" s="135"/>
      <c r="R6" s="135"/>
      <c r="S6" s="135"/>
      <c r="T6" s="135"/>
      <c r="U6" s="136"/>
    </row>
    <row r="7" spans="1:60" ht="11.45" hidden="1" customHeight="1" x14ac:dyDescent="0.35">
      <c r="A7" s="140"/>
      <c r="B7" s="140"/>
      <c r="C7" s="140"/>
      <c r="D7" s="227" t="s">
        <v>272</v>
      </c>
      <c r="E7" s="227"/>
      <c r="F7" s="227"/>
      <c r="G7" s="227"/>
      <c r="H7" s="145" t="s">
        <v>270</v>
      </c>
      <c r="I7" s="135"/>
      <c r="J7" s="135"/>
      <c r="K7" s="135"/>
      <c r="L7" s="135"/>
      <c r="M7" s="135"/>
      <c r="N7" s="135"/>
      <c r="O7" s="135"/>
      <c r="P7" s="135"/>
      <c r="Q7" s="135"/>
      <c r="R7" s="135"/>
      <c r="S7" s="135"/>
      <c r="T7" s="135"/>
      <c r="U7" s="136"/>
    </row>
    <row r="8" spans="1:60" ht="9.6" hidden="1" customHeight="1" x14ac:dyDescent="0.35">
      <c r="A8" s="140"/>
      <c r="B8" s="140"/>
      <c r="C8" s="140"/>
      <c r="D8" s="227" t="s">
        <v>273</v>
      </c>
      <c r="E8" s="227"/>
      <c r="F8" s="227"/>
      <c r="G8" s="227"/>
      <c r="H8" s="145" t="s">
        <v>270</v>
      </c>
      <c r="I8" s="135"/>
      <c r="J8" s="135"/>
      <c r="K8" s="135"/>
      <c r="L8" s="135"/>
      <c r="M8" s="135"/>
      <c r="N8" s="135"/>
      <c r="O8" s="135"/>
      <c r="P8" s="135"/>
      <c r="Q8" s="135"/>
      <c r="R8" s="135"/>
      <c r="S8" s="135"/>
      <c r="T8" s="135"/>
      <c r="U8" s="136"/>
    </row>
    <row r="9" spans="1:60" ht="10.9" customHeight="1" x14ac:dyDescent="0.25">
      <c r="A9" s="140"/>
      <c r="B9" s="140"/>
      <c r="C9" s="140"/>
      <c r="D9" s="135"/>
      <c r="E9" s="135"/>
      <c r="F9" s="135"/>
      <c r="G9" s="135"/>
      <c r="H9" s="135"/>
      <c r="I9" s="135"/>
      <c r="J9" s="135"/>
      <c r="K9" s="135"/>
      <c r="L9" s="135"/>
      <c r="M9" s="135"/>
      <c r="N9" s="135"/>
      <c r="O9" s="135"/>
      <c r="P9" s="135"/>
      <c r="Q9" s="135"/>
      <c r="R9" s="135"/>
      <c r="S9" s="135"/>
      <c r="T9" s="135"/>
      <c r="U9" s="136"/>
    </row>
    <row r="10" spans="1:60" ht="25.15" customHeight="1" x14ac:dyDescent="0.25">
      <c r="A10" s="8"/>
      <c r="B10" s="3"/>
      <c r="C10" s="8"/>
      <c r="D10" s="228" t="s">
        <v>257</v>
      </c>
      <c r="E10" s="228"/>
      <c r="F10" s="228"/>
      <c r="G10" s="229" t="s">
        <v>258</v>
      </c>
      <c r="H10" s="230"/>
      <c r="I10" s="230"/>
      <c r="J10" s="231" t="s">
        <v>259</v>
      </c>
      <c r="K10" s="232"/>
      <c r="L10" s="232"/>
      <c r="M10" s="233" t="s">
        <v>260</v>
      </c>
      <c r="N10" s="234"/>
      <c r="O10" s="234"/>
      <c r="P10" s="235" t="s">
        <v>261</v>
      </c>
      <c r="Q10" s="236"/>
      <c r="R10" s="236"/>
      <c r="S10" s="214" t="s">
        <v>262</v>
      </c>
      <c r="T10" s="215"/>
      <c r="U10" s="215"/>
      <c r="V10" s="216" t="s">
        <v>263</v>
      </c>
      <c r="W10" s="217"/>
      <c r="X10" s="217"/>
      <c r="Y10" s="146"/>
      <c r="Z10" s="146"/>
      <c r="AC10" t="s">
        <v>274</v>
      </c>
      <c r="AQ10" s="157">
        <f>+SUBTOTAL(9,AQ13:AQ96)</f>
        <v>7878293</v>
      </c>
      <c r="AS10" s="157">
        <f>+SUBTOTAL(9,AS13:AS96)</f>
        <v>9375170</v>
      </c>
      <c r="AU10" s="218" t="s">
        <v>263</v>
      </c>
      <c r="AV10" s="219"/>
      <c r="AW10" s="220"/>
      <c r="BG10" s="147">
        <v>0.2</v>
      </c>
    </row>
    <row r="11" spans="1:60" ht="19.899999999999999" customHeight="1" x14ac:dyDescent="0.25">
      <c r="A11" s="8">
        <f>+COUNT(A13:A96)</f>
        <v>84</v>
      </c>
      <c r="B11" s="3"/>
      <c r="C11" s="8"/>
      <c r="D11" s="148">
        <f>+SUBTOTAL(9,D13:D96)</f>
        <v>12504046.638655465</v>
      </c>
      <c r="E11" s="148">
        <f t="shared" ref="E11:Z11" si="0">+SUBTOTAL(9,E13:E96)</f>
        <v>2375768.8613445382</v>
      </c>
      <c r="F11" s="149">
        <f t="shared" si="0"/>
        <v>14879815.5</v>
      </c>
      <c r="G11" s="148">
        <f t="shared" si="0"/>
        <v>8374787.3303167401</v>
      </c>
      <c r="H11" s="148">
        <f t="shared" si="0"/>
        <v>1591209.5927601818</v>
      </c>
      <c r="I11" s="148">
        <f t="shared" si="0"/>
        <v>9965996.9230769295</v>
      </c>
      <c r="J11" s="148">
        <f t="shared" si="0"/>
        <v>6432933.333333333</v>
      </c>
      <c r="K11" s="148">
        <f t="shared" si="0"/>
        <v>1222257.3333333335</v>
      </c>
      <c r="L11" s="148">
        <f t="shared" si="0"/>
        <v>7655190.666666667</v>
      </c>
      <c r="M11" s="148">
        <f t="shared" si="0"/>
        <v>20959689</v>
      </c>
      <c r="N11" s="148">
        <f t="shared" si="0"/>
        <v>3982340.91</v>
      </c>
      <c r="O11" s="149">
        <f t="shared" si="0"/>
        <v>24942029.91</v>
      </c>
      <c r="P11" s="148">
        <f t="shared" si="0"/>
        <v>11254991</v>
      </c>
      <c r="Q11" s="148">
        <f t="shared" si="0"/>
        <v>2138448.29</v>
      </c>
      <c r="R11" s="148">
        <f t="shared" si="0"/>
        <v>13393439.289999995</v>
      </c>
      <c r="S11" s="148">
        <f t="shared" si="0"/>
        <v>14646315.126050416</v>
      </c>
      <c r="T11" s="148">
        <f t="shared" si="0"/>
        <v>2782799.8739495794</v>
      </c>
      <c r="U11" s="149">
        <f t="shared" si="0"/>
        <v>17429115</v>
      </c>
      <c r="V11" s="148">
        <f t="shared" si="0"/>
        <v>7170576.0798296155</v>
      </c>
      <c r="W11" s="148">
        <f t="shared" si="0"/>
        <v>1362409.4551676274</v>
      </c>
      <c r="X11" s="148">
        <f t="shared" si="0"/>
        <v>8532985.5349972453</v>
      </c>
      <c r="Y11" s="146"/>
      <c r="Z11" s="148">
        <f t="shared" si="0"/>
        <v>8604691.2957955394</v>
      </c>
      <c r="AB11" s="221" t="s">
        <v>275</v>
      </c>
      <c r="AC11" s="222"/>
      <c r="AD11" s="222"/>
      <c r="AE11" s="222"/>
      <c r="AF11" s="223"/>
      <c r="AH11" s="150" t="s">
        <v>257</v>
      </c>
      <c r="AI11" s="151" t="s">
        <v>258</v>
      </c>
      <c r="AJ11" s="152" t="s">
        <v>259</v>
      </c>
      <c r="AK11" s="153" t="s">
        <v>260</v>
      </c>
      <c r="AL11" s="154" t="s">
        <v>261</v>
      </c>
      <c r="AM11" s="155" t="s">
        <v>262</v>
      </c>
      <c r="AN11" s="156" t="s">
        <v>276</v>
      </c>
      <c r="AO11" s="224" t="s">
        <v>277</v>
      </c>
      <c r="AQ11" s="226" t="s">
        <v>278</v>
      </c>
      <c r="AR11" s="226"/>
      <c r="AS11" s="226"/>
      <c r="AU11" s="148">
        <f t="shared" ref="AU11:AW11" si="1">+SUBTOTAL(9,AU13:AU96)</f>
        <v>7170576.0798296155</v>
      </c>
      <c r="AV11" s="148">
        <f t="shared" si="1"/>
        <v>1362409.4551676274</v>
      </c>
      <c r="AW11" s="148">
        <f t="shared" si="1"/>
        <v>8532985.5349972453</v>
      </c>
      <c r="AY11" s="158">
        <f>+(AQ10-AU11)/AU11</f>
        <v>9.8697358802335017E-2</v>
      </c>
      <c r="AZ11" s="159"/>
      <c r="BA11" s="159"/>
      <c r="BC11" s="148">
        <f t="shared" ref="BC11" si="2">+SUBTOTAL(9,BC13:BC96)</f>
        <v>8604691.2957955394</v>
      </c>
      <c r="BG11" s="148">
        <f t="shared" ref="BG11" si="3">+SUBTOTAL(9,BG13:BG96)</f>
        <v>9453950</v>
      </c>
      <c r="BH11" s="160">
        <f>+(BG11-BC11)/BC11</f>
        <v>9.8697172857256252E-2</v>
      </c>
    </row>
    <row r="12" spans="1:60" s="166" customFormat="1" ht="25.15" customHeight="1" x14ac:dyDescent="0.2">
      <c r="A12" s="161" t="s">
        <v>251</v>
      </c>
      <c r="B12" s="162" t="s">
        <v>252</v>
      </c>
      <c r="C12" s="162" t="s">
        <v>39</v>
      </c>
      <c r="D12" s="163" t="s">
        <v>253</v>
      </c>
      <c r="E12" s="163" t="s">
        <v>239</v>
      </c>
      <c r="F12" s="163" t="s">
        <v>254</v>
      </c>
      <c r="G12" s="163" t="s">
        <v>253</v>
      </c>
      <c r="H12" s="163" t="s">
        <v>239</v>
      </c>
      <c r="I12" s="163" t="s">
        <v>254</v>
      </c>
      <c r="J12" s="163" t="s">
        <v>253</v>
      </c>
      <c r="K12" s="163" t="s">
        <v>239</v>
      </c>
      <c r="L12" s="163" t="s">
        <v>254</v>
      </c>
      <c r="M12" s="163" t="s">
        <v>253</v>
      </c>
      <c r="N12" s="163" t="s">
        <v>239</v>
      </c>
      <c r="O12" s="163" t="s">
        <v>254</v>
      </c>
      <c r="P12" s="163" t="s">
        <v>253</v>
      </c>
      <c r="Q12" s="163" t="s">
        <v>239</v>
      </c>
      <c r="R12" s="163" t="s">
        <v>254</v>
      </c>
      <c r="S12" s="163" t="s">
        <v>253</v>
      </c>
      <c r="T12" s="163" t="s">
        <v>239</v>
      </c>
      <c r="U12" s="163" t="s">
        <v>254</v>
      </c>
      <c r="V12" s="163" t="s">
        <v>253</v>
      </c>
      <c r="W12" s="163" t="s">
        <v>239</v>
      </c>
      <c r="X12" s="164" t="s">
        <v>254</v>
      </c>
      <c r="Y12" s="165"/>
      <c r="Z12" s="163" t="s">
        <v>279</v>
      </c>
      <c r="AB12" s="167" t="s">
        <v>8</v>
      </c>
      <c r="AC12" s="167" t="s">
        <v>280</v>
      </c>
      <c r="AD12" s="167" t="s">
        <v>281</v>
      </c>
      <c r="AE12" s="167" t="s">
        <v>282</v>
      </c>
      <c r="AF12" s="167" t="s">
        <v>283</v>
      </c>
      <c r="AH12" s="167" t="s">
        <v>253</v>
      </c>
      <c r="AI12" s="167" t="s">
        <v>253</v>
      </c>
      <c r="AJ12" s="167" t="s">
        <v>253</v>
      </c>
      <c r="AK12" s="167" t="s">
        <v>253</v>
      </c>
      <c r="AL12" s="167" t="s">
        <v>253</v>
      </c>
      <c r="AM12" s="167" t="s">
        <v>253</v>
      </c>
      <c r="AN12" s="167" t="s">
        <v>253</v>
      </c>
      <c r="AO12" s="225"/>
      <c r="AQ12" s="167" t="s">
        <v>253</v>
      </c>
      <c r="AR12" s="167" t="s">
        <v>284</v>
      </c>
      <c r="AS12" s="167" t="s">
        <v>285</v>
      </c>
      <c r="AU12" s="163" t="s">
        <v>253</v>
      </c>
      <c r="AV12" s="163" t="s">
        <v>239</v>
      </c>
      <c r="AW12" s="164" t="s">
        <v>254</v>
      </c>
      <c r="AY12" s="168" t="s">
        <v>286</v>
      </c>
      <c r="AZ12" s="169"/>
      <c r="BA12" s="169"/>
      <c r="BC12" s="163" t="s">
        <v>287</v>
      </c>
      <c r="BE12" s="170" t="s">
        <v>288</v>
      </c>
      <c r="BF12" s="171" t="s">
        <v>289</v>
      </c>
      <c r="BG12" s="171" t="s">
        <v>290</v>
      </c>
    </row>
    <row r="13" spans="1:60" s="166" customFormat="1" ht="36" customHeight="1" x14ac:dyDescent="0.2">
      <c r="A13" s="172">
        <v>1</v>
      </c>
      <c r="B13" s="173" t="s">
        <v>114</v>
      </c>
      <c r="C13" s="174" t="s">
        <v>39</v>
      </c>
      <c r="D13" s="175">
        <f>+F13/1.19</f>
        <v>90126.050420168074</v>
      </c>
      <c r="E13" s="176">
        <f>+D13*0.19</f>
        <v>17123.949579831933</v>
      </c>
      <c r="F13" s="177">
        <v>107250</v>
      </c>
      <c r="G13" s="175">
        <v>92954.104718810602</v>
      </c>
      <c r="H13" s="178">
        <v>17661.279896574015</v>
      </c>
      <c r="I13" s="179">
        <v>110615.38461538462</v>
      </c>
      <c r="J13" s="180">
        <v>82666.666666666672</v>
      </c>
      <c r="K13" s="178">
        <f>+J13*19/100</f>
        <v>15706.666666666668</v>
      </c>
      <c r="L13" s="179">
        <f>+K13+J13</f>
        <v>98373.333333333343</v>
      </c>
      <c r="M13" s="181">
        <v>212700</v>
      </c>
      <c r="N13" s="182">
        <v>40413</v>
      </c>
      <c r="O13" s="179">
        <v>253113</v>
      </c>
      <c r="P13" s="181">
        <v>127563</v>
      </c>
      <c r="Q13" s="182">
        <v>24236.97</v>
      </c>
      <c r="R13" s="179">
        <v>151799.97</v>
      </c>
      <c r="S13" s="181">
        <v>178739.49579831935</v>
      </c>
      <c r="T13" s="182">
        <v>33960.504201680676</v>
      </c>
      <c r="U13" s="179">
        <v>212700.00000000003</v>
      </c>
      <c r="V13" s="183">
        <v>79881.47713208737</v>
      </c>
      <c r="W13" s="182">
        <f>+V13*19/100</f>
        <v>15177.480655096599</v>
      </c>
      <c r="X13" s="179">
        <f>+W13+V13</f>
        <v>95058.957787183972</v>
      </c>
      <c r="Y13" s="184"/>
      <c r="Z13" s="185">
        <f>+V13*1.2</f>
        <v>95857.772558504847</v>
      </c>
      <c r="AB13" s="179">
        <f>ROUND(AVERAGE(D13,G13,J13,V13),0)</f>
        <v>86407</v>
      </c>
      <c r="AC13" s="179">
        <f>ROUND(STDEVA(D13,G13,J13,V13),0)</f>
        <v>6145</v>
      </c>
      <c r="AD13" s="158">
        <f t="shared" ref="AD13:AD76" si="4">+AC13/AB13</f>
        <v>7.1116923397409937E-2</v>
      </c>
      <c r="AE13" s="179">
        <f t="shared" ref="AE13:AE76" si="5">+ROUND(AB13-AC13,0)</f>
        <v>80262</v>
      </c>
      <c r="AF13" s="179">
        <f t="shared" ref="AF13:AF76" si="6">+ROUND(AB13+AC13,0)</f>
        <v>92552</v>
      </c>
      <c r="AH13" s="179">
        <f>IF(AND(D13&gt;$AE13,D13&lt;$AF13),D13,"")</f>
        <v>90126.050420168074</v>
      </c>
      <c r="AI13" s="179" t="str">
        <f>IF(AND(G13&gt;$AE13,G13&lt;$AF13),G13,"")</f>
        <v/>
      </c>
      <c r="AJ13" s="179">
        <f>IF(AND(J13&gt;$AE13,J13&lt;$AF13),J13,"")</f>
        <v>82666.666666666672</v>
      </c>
      <c r="AK13" s="179" t="str">
        <f>IF(AND(M13&gt;$AE13,M13&lt;$AF13),M13,"")</f>
        <v/>
      </c>
      <c r="AL13" s="179" t="str">
        <f>IF(AND(P13&gt;$AE13,P13&lt;$AF13),P13,"")</f>
        <v/>
      </c>
      <c r="AM13" s="179" t="str">
        <f>IF(AND(S13&gt;$AE13,S13&lt;$AF13),S13,"")</f>
        <v/>
      </c>
      <c r="AN13" s="179" t="str">
        <f>IF(AND(V13&gt;$AE13,V13&lt;$AF13),V13,"")</f>
        <v/>
      </c>
      <c r="AO13" s="179">
        <f>ROUND(AVERAGE(AH13:AN13),0)</f>
        <v>86396</v>
      </c>
      <c r="AQ13" s="186">
        <f>+AO13</f>
        <v>86396</v>
      </c>
      <c r="AR13" s="186">
        <f>ROUND((AQ13*19%),0)</f>
        <v>16415</v>
      </c>
      <c r="AS13" s="186">
        <f>+AR13+AQ13</f>
        <v>102811</v>
      </c>
      <c r="AU13" s="187">
        <v>79881.47713208737</v>
      </c>
      <c r="AV13" s="182">
        <f>+AU13*19/100</f>
        <v>15177.480655096599</v>
      </c>
      <c r="AW13" s="179">
        <f>+AV13+AU13</f>
        <v>95058.957787183972</v>
      </c>
      <c r="AY13" s="158">
        <f>+(AQ13-AU13)/AU13</f>
        <v>8.1552358591724508E-2</v>
      </c>
      <c r="AZ13" s="188" t="str">
        <f>+IF(AND(AU13&gt;AQ13,AU13&lt;AQ13),"BAJO","AUMENTO")</f>
        <v>AUMENTO</v>
      </c>
      <c r="BA13" s="159"/>
      <c r="BC13" s="185">
        <v>95857.772558504847</v>
      </c>
      <c r="BE13" s="189">
        <f>+ROUND(AQ13*$BG$10,0)</f>
        <v>17279</v>
      </c>
      <c r="BF13" s="190">
        <f>+BE13+AQ13</f>
        <v>103675</v>
      </c>
      <c r="BG13" s="190">
        <f>+ROUND((AQ13*$BG$10)+AQ13,0)</f>
        <v>103675</v>
      </c>
    </row>
    <row r="14" spans="1:60" s="166" customFormat="1" ht="24" x14ac:dyDescent="0.2">
      <c r="A14" s="172">
        <v>2</v>
      </c>
      <c r="B14" s="173" t="s">
        <v>115</v>
      </c>
      <c r="C14" s="174" t="s">
        <v>39</v>
      </c>
      <c r="D14" s="175">
        <f t="shared" ref="D14:D77" si="7">+F14/1.19</f>
        <v>95546.218487394959</v>
      </c>
      <c r="E14" s="176">
        <f t="shared" ref="E14:E77" si="8">+D14*0.19</f>
        <v>18153.781512605041</v>
      </c>
      <c r="F14" s="177">
        <v>113700</v>
      </c>
      <c r="G14" s="175">
        <v>99418.228829993532</v>
      </c>
      <c r="H14" s="178">
        <v>18889.46347769877</v>
      </c>
      <c r="I14" s="179">
        <v>118307.6923076923</v>
      </c>
      <c r="J14" s="180">
        <v>82666.666666666672</v>
      </c>
      <c r="K14" s="178">
        <f t="shared" ref="K14:K77" si="9">+J14*19/100</f>
        <v>15706.666666666668</v>
      </c>
      <c r="L14" s="179">
        <f t="shared" ref="L14:L77" si="10">+K14+J14</f>
        <v>98373.333333333343</v>
      </c>
      <c r="M14" s="181">
        <v>227700</v>
      </c>
      <c r="N14" s="182">
        <v>43263</v>
      </c>
      <c r="O14" s="179">
        <v>270963</v>
      </c>
      <c r="P14" s="181">
        <v>127563</v>
      </c>
      <c r="Q14" s="182">
        <v>24236.97</v>
      </c>
      <c r="R14" s="179">
        <v>151799.97</v>
      </c>
      <c r="S14" s="181">
        <v>178739.49579831935</v>
      </c>
      <c r="T14" s="182">
        <v>33960.504201680676</v>
      </c>
      <c r="U14" s="179">
        <v>212700.00000000003</v>
      </c>
      <c r="V14" s="183">
        <v>82088.876290788714</v>
      </c>
      <c r="W14" s="182">
        <f t="shared" ref="W14:W77" si="11">+V14*19/100</f>
        <v>15596.886495249855</v>
      </c>
      <c r="X14" s="179">
        <f t="shared" ref="X14:X77" si="12">+W14+V14</f>
        <v>97685.762786038569</v>
      </c>
      <c r="Y14" s="184"/>
      <c r="Z14" s="177">
        <f t="shared" ref="Z14:Z77" si="13">+V14*1.2</f>
        <v>98506.651548946451</v>
      </c>
      <c r="AB14" s="179">
        <f>ROUND(AVERAGE(D14,G14,J14,V14),0)</f>
        <v>89930</v>
      </c>
      <c r="AC14" s="179">
        <f>ROUND(STDEVA(D14,G14,J14,V14),0)</f>
        <v>8866</v>
      </c>
      <c r="AD14" s="158">
        <f t="shared" si="4"/>
        <v>9.8587790503725126E-2</v>
      </c>
      <c r="AE14" s="179">
        <f t="shared" si="5"/>
        <v>81064</v>
      </c>
      <c r="AF14" s="179">
        <f t="shared" si="6"/>
        <v>98796</v>
      </c>
      <c r="AH14" s="179">
        <f t="shared" ref="AH14:AH77" si="14">IF(AND(D14&gt;$AE14,D14&lt;$AF14),D14,"")</f>
        <v>95546.218487394959</v>
      </c>
      <c r="AI14" s="179" t="str">
        <f t="shared" ref="AI14:AI77" si="15">IF(AND(G14&gt;$AE14,G14&lt;$AF14),G14,"")</f>
        <v/>
      </c>
      <c r="AJ14" s="179">
        <f t="shared" ref="AJ14:AJ77" si="16">IF(AND(J14&gt;$AE14,J14&lt;$AF14),J14,"")</f>
        <v>82666.666666666672</v>
      </c>
      <c r="AK14" s="179" t="str">
        <f t="shared" ref="AK14:AK77" si="17">IF(AND(M14&gt;$AE14,M14&lt;$AF14),M14,"")</f>
        <v/>
      </c>
      <c r="AL14" s="179" t="str">
        <f t="shared" ref="AL14:AL77" si="18">IF(AND(P14&gt;$AE14,P14&lt;$AF14),P14,"")</f>
        <v/>
      </c>
      <c r="AM14" s="179" t="str">
        <f t="shared" ref="AM14:AM77" si="19">IF(AND(S14&gt;$AE14,S14&lt;$AF14),S14,"")</f>
        <v/>
      </c>
      <c r="AN14" s="179">
        <f t="shared" ref="AN14:AN77" si="20">IF(AND(V14&gt;$AE14,V14&lt;$AF14),V14,"")</f>
        <v>82088.876290788714</v>
      </c>
      <c r="AO14" s="179">
        <f t="shared" ref="AO14:AO77" si="21">ROUND(AVERAGE(AH14:AN14),0)</f>
        <v>86767</v>
      </c>
      <c r="AQ14" s="186">
        <f t="shared" ref="AQ14:AQ77" si="22">+AO14</f>
        <v>86767</v>
      </c>
      <c r="AR14" s="186">
        <f t="shared" ref="AR14:AR77" si="23">ROUND((AQ14*19%),0)</f>
        <v>16486</v>
      </c>
      <c r="AS14" s="186">
        <f t="shared" ref="AS14:AS77" si="24">+AR14+AQ14</f>
        <v>103253</v>
      </c>
      <c r="AU14" s="187">
        <v>82088.876290788714</v>
      </c>
      <c r="AV14" s="182">
        <f t="shared" ref="AV14:AV77" si="25">+AU14*19/100</f>
        <v>15596.886495249855</v>
      </c>
      <c r="AW14" s="179">
        <f t="shared" ref="AW14:AW77" si="26">+AV14+AU14</f>
        <v>97685.762786038569</v>
      </c>
      <c r="AY14" s="158">
        <f t="shared" ref="AY14:AY77" si="27">+(AQ14-AU14)/AU14</f>
        <v>5.6988521716872666E-2</v>
      </c>
      <c r="AZ14" s="188" t="str">
        <f t="shared" ref="AZ14:AZ77" si="28">+IF(AND(AU14&gt;AQ14,AU14&lt;AQ14),"BAJO","AUMENTO")</f>
        <v>AUMENTO</v>
      </c>
      <c r="BA14" s="159"/>
      <c r="BC14" s="177">
        <v>98506.651548946451</v>
      </c>
      <c r="BE14" s="189">
        <f t="shared" ref="BE14:BE77" si="29">+ROUND(AQ14*$BG$10,0)</f>
        <v>17353</v>
      </c>
      <c r="BF14" s="190">
        <f t="shared" ref="BF14:BF77" si="30">+BE14+AQ14</f>
        <v>104120</v>
      </c>
      <c r="BG14" s="190">
        <f t="shared" ref="BG14:BG77" si="31">+ROUND((AQ14*$BG$10)+AQ14,0)</f>
        <v>104120</v>
      </c>
    </row>
    <row r="15" spans="1:60" s="166" customFormat="1" ht="24" x14ac:dyDescent="0.2">
      <c r="A15" s="172">
        <v>3</v>
      </c>
      <c r="B15" s="173" t="s">
        <v>112</v>
      </c>
      <c r="C15" s="174" t="s">
        <v>3</v>
      </c>
      <c r="D15" s="175">
        <f t="shared" si="7"/>
        <v>28361.344537815126</v>
      </c>
      <c r="E15" s="176">
        <f t="shared" si="8"/>
        <v>5388.6554621848745</v>
      </c>
      <c r="F15" s="177">
        <v>33750</v>
      </c>
      <c r="G15" s="175">
        <v>32837.750484809309</v>
      </c>
      <c r="H15" s="178">
        <v>6239.1725921137686</v>
      </c>
      <c r="I15" s="179">
        <v>39076.923076923078</v>
      </c>
      <c r="J15" s="180">
        <v>26400</v>
      </c>
      <c r="K15" s="178">
        <f t="shared" si="9"/>
        <v>5016</v>
      </c>
      <c r="L15" s="179">
        <f t="shared" si="10"/>
        <v>31416</v>
      </c>
      <c r="M15" s="181">
        <v>68580</v>
      </c>
      <c r="N15" s="182">
        <v>13030.2</v>
      </c>
      <c r="O15" s="179">
        <v>81610.2</v>
      </c>
      <c r="P15" s="181">
        <v>50800</v>
      </c>
      <c r="Q15" s="182">
        <v>9652</v>
      </c>
      <c r="R15" s="179">
        <v>60452</v>
      </c>
      <c r="S15" s="181">
        <v>64033.613445378156</v>
      </c>
      <c r="T15" s="182">
        <v>12166.386554621849</v>
      </c>
      <c r="U15" s="179">
        <v>76200</v>
      </c>
      <c r="V15" s="183">
        <v>26578.592855308983</v>
      </c>
      <c r="W15" s="182">
        <f t="shared" si="11"/>
        <v>5049.9326425087065</v>
      </c>
      <c r="X15" s="179">
        <f t="shared" si="12"/>
        <v>31628.525497817689</v>
      </c>
      <c r="Y15" s="184"/>
      <c r="Z15" s="177">
        <f t="shared" si="13"/>
        <v>31894.311426370779</v>
      </c>
      <c r="AB15" s="179">
        <f>ROUND(AVERAGE(D15,J15,V15),0)</f>
        <v>27113</v>
      </c>
      <c r="AC15" s="179">
        <f>ROUND(STDEVA(D15,J15,V15),0)</f>
        <v>1085</v>
      </c>
      <c r="AD15" s="158">
        <f t="shared" si="4"/>
        <v>4.0017703684579353E-2</v>
      </c>
      <c r="AE15" s="179">
        <f t="shared" si="5"/>
        <v>26028</v>
      </c>
      <c r="AF15" s="179">
        <f t="shared" si="6"/>
        <v>28198</v>
      </c>
      <c r="AH15" s="179" t="str">
        <f t="shared" si="14"/>
        <v/>
      </c>
      <c r="AI15" s="179" t="str">
        <f t="shared" si="15"/>
        <v/>
      </c>
      <c r="AJ15" s="179">
        <f t="shared" si="16"/>
        <v>26400</v>
      </c>
      <c r="AK15" s="179" t="str">
        <f t="shared" si="17"/>
        <v/>
      </c>
      <c r="AL15" s="179" t="str">
        <f t="shared" si="18"/>
        <v/>
      </c>
      <c r="AM15" s="179" t="str">
        <f t="shared" si="19"/>
        <v/>
      </c>
      <c r="AN15" s="179">
        <f t="shared" si="20"/>
        <v>26578.592855308983</v>
      </c>
      <c r="AO15" s="179">
        <f t="shared" si="21"/>
        <v>26489</v>
      </c>
      <c r="AQ15" s="186">
        <f t="shared" si="22"/>
        <v>26489</v>
      </c>
      <c r="AR15" s="186">
        <f t="shared" si="23"/>
        <v>5033</v>
      </c>
      <c r="AS15" s="186">
        <f t="shared" si="24"/>
        <v>31522</v>
      </c>
      <c r="AU15" s="191">
        <v>26578.592855308983</v>
      </c>
      <c r="AV15" s="182">
        <f t="shared" si="25"/>
        <v>5049.9326425087065</v>
      </c>
      <c r="AW15" s="179">
        <f t="shared" si="26"/>
        <v>31628.525497817689</v>
      </c>
      <c r="AY15" s="158">
        <f t="shared" si="27"/>
        <v>-3.3708652597493529E-3</v>
      </c>
      <c r="AZ15" s="188" t="str">
        <f t="shared" si="28"/>
        <v>AUMENTO</v>
      </c>
      <c r="BA15" s="159"/>
      <c r="BC15" s="177">
        <v>31894.311426370779</v>
      </c>
      <c r="BE15" s="189">
        <f t="shared" si="29"/>
        <v>5298</v>
      </c>
      <c r="BF15" s="190">
        <f t="shared" si="30"/>
        <v>31787</v>
      </c>
      <c r="BG15" s="190">
        <f t="shared" si="31"/>
        <v>31787</v>
      </c>
    </row>
    <row r="16" spans="1:60" s="166" customFormat="1" ht="24" x14ac:dyDescent="0.2">
      <c r="A16" s="172">
        <v>4</v>
      </c>
      <c r="B16" s="173" t="s">
        <v>116</v>
      </c>
      <c r="C16" s="174" t="s">
        <v>3</v>
      </c>
      <c r="D16" s="175">
        <f>+F16/1.19</f>
        <v>8886.5546218487398</v>
      </c>
      <c r="E16" s="176">
        <f t="shared" si="8"/>
        <v>1688.4453781512607</v>
      </c>
      <c r="F16" s="177">
        <v>10575</v>
      </c>
      <c r="G16" s="181">
        <v>21978.021978021978</v>
      </c>
      <c r="H16" s="178">
        <v>4175.8241758241757</v>
      </c>
      <c r="I16" s="179">
        <v>26153.846153846152</v>
      </c>
      <c r="J16" s="180">
        <v>8800</v>
      </c>
      <c r="K16" s="178">
        <f t="shared" si="9"/>
        <v>1672</v>
      </c>
      <c r="L16" s="179">
        <f t="shared" si="10"/>
        <v>10472</v>
      </c>
      <c r="M16" s="181">
        <v>21150</v>
      </c>
      <c r="N16" s="182">
        <v>4018.5</v>
      </c>
      <c r="O16" s="179">
        <v>25168.5</v>
      </c>
      <c r="P16" s="181">
        <v>0</v>
      </c>
      <c r="Q16" s="182">
        <v>0</v>
      </c>
      <c r="R16" s="179">
        <v>0</v>
      </c>
      <c r="S16" s="181">
        <v>17773.10924369748</v>
      </c>
      <c r="T16" s="182">
        <v>3376.8907563025214</v>
      </c>
      <c r="U16" s="179">
        <v>21150</v>
      </c>
      <c r="V16" s="183">
        <v>13320.989277701983</v>
      </c>
      <c r="W16" s="182">
        <f t="shared" si="11"/>
        <v>2530.9879627633768</v>
      </c>
      <c r="X16" s="179">
        <f t="shared" si="12"/>
        <v>15851.97724046536</v>
      </c>
      <c r="Y16" s="184"/>
      <c r="Z16" s="177">
        <f t="shared" si="13"/>
        <v>15985.18713324238</v>
      </c>
      <c r="AB16" s="179">
        <f>ROUND(AVERAGE(D16,J16,V16),0)</f>
        <v>10336</v>
      </c>
      <c r="AC16" s="179">
        <f>ROUND(STDEVA(D16,J16,V16),0)</f>
        <v>2586</v>
      </c>
      <c r="AD16" s="158">
        <f t="shared" si="4"/>
        <v>0.25019349845201239</v>
      </c>
      <c r="AE16" s="179">
        <f t="shared" si="5"/>
        <v>7750</v>
      </c>
      <c r="AF16" s="179">
        <f t="shared" si="6"/>
        <v>12922</v>
      </c>
      <c r="AH16" s="179">
        <f t="shared" si="14"/>
        <v>8886.5546218487398</v>
      </c>
      <c r="AI16" s="179" t="str">
        <f t="shared" si="15"/>
        <v/>
      </c>
      <c r="AJ16" s="179">
        <f t="shared" si="16"/>
        <v>8800</v>
      </c>
      <c r="AK16" s="179" t="str">
        <f t="shared" si="17"/>
        <v/>
      </c>
      <c r="AL16" s="179" t="str">
        <f t="shared" si="18"/>
        <v/>
      </c>
      <c r="AM16" s="179" t="str">
        <f t="shared" si="19"/>
        <v/>
      </c>
      <c r="AN16" s="179" t="str">
        <f t="shared" si="20"/>
        <v/>
      </c>
      <c r="AO16" s="179">
        <f t="shared" si="21"/>
        <v>8843</v>
      </c>
      <c r="AQ16" s="186">
        <f t="shared" si="22"/>
        <v>8843</v>
      </c>
      <c r="AR16" s="186">
        <f t="shared" si="23"/>
        <v>1680</v>
      </c>
      <c r="AS16" s="186">
        <f t="shared" si="24"/>
        <v>10523</v>
      </c>
      <c r="AU16" s="191">
        <v>13320.989277701983</v>
      </c>
      <c r="AV16" s="182">
        <f t="shared" si="25"/>
        <v>2530.9879627633768</v>
      </c>
      <c r="AW16" s="179">
        <f t="shared" si="26"/>
        <v>15851.97724046536</v>
      </c>
      <c r="AY16" s="158">
        <f t="shared" si="27"/>
        <v>-0.33616041454201107</v>
      </c>
      <c r="AZ16" s="188" t="str">
        <f t="shared" si="28"/>
        <v>AUMENTO</v>
      </c>
      <c r="BA16" s="159"/>
      <c r="BC16" s="177">
        <v>15985.18713324238</v>
      </c>
      <c r="BE16" s="189">
        <f t="shared" si="29"/>
        <v>1769</v>
      </c>
      <c r="BF16" s="190">
        <f t="shared" si="30"/>
        <v>10612</v>
      </c>
      <c r="BG16" s="190">
        <f t="shared" si="31"/>
        <v>10612</v>
      </c>
    </row>
    <row r="17" spans="1:59" s="166" customFormat="1" ht="12" x14ac:dyDescent="0.2">
      <c r="A17" s="172">
        <v>5</v>
      </c>
      <c r="B17" s="173" t="s">
        <v>117</v>
      </c>
      <c r="C17" s="174" t="s">
        <v>3</v>
      </c>
      <c r="D17" s="175">
        <f t="shared" si="7"/>
        <v>9075.6302521008402</v>
      </c>
      <c r="E17" s="176">
        <f t="shared" si="8"/>
        <v>1724.3697478991596</v>
      </c>
      <c r="F17" s="177">
        <v>10800</v>
      </c>
      <c r="G17" s="175">
        <v>9696.1861667744015</v>
      </c>
      <c r="H17" s="178">
        <v>1842.2753716871364</v>
      </c>
      <c r="I17" s="179">
        <v>11538.461538461537</v>
      </c>
      <c r="J17" s="180">
        <v>8800</v>
      </c>
      <c r="K17" s="178">
        <f t="shared" si="9"/>
        <v>1672</v>
      </c>
      <c r="L17" s="179">
        <f t="shared" si="10"/>
        <v>10472</v>
      </c>
      <c r="M17" s="181">
        <v>21609</v>
      </c>
      <c r="N17" s="182">
        <v>4105.71</v>
      </c>
      <c r="O17" s="179">
        <v>25714.71</v>
      </c>
      <c r="P17" s="181">
        <v>6053</v>
      </c>
      <c r="Q17" s="182">
        <v>1150.07</v>
      </c>
      <c r="R17" s="179">
        <v>7203.07</v>
      </c>
      <c r="S17" s="181">
        <v>18158.823529411766</v>
      </c>
      <c r="T17" s="182">
        <v>3450.1764705882356</v>
      </c>
      <c r="U17" s="179">
        <v>21609</v>
      </c>
      <c r="V17" s="191">
        <v>8558.7731429245141</v>
      </c>
      <c r="W17" s="182">
        <f t="shared" si="11"/>
        <v>1626.1668971556576</v>
      </c>
      <c r="X17" s="179">
        <f t="shared" si="12"/>
        <v>10184.940040080171</v>
      </c>
      <c r="Y17" s="184"/>
      <c r="Z17" s="177">
        <f t="shared" si="13"/>
        <v>10270.527771509416</v>
      </c>
      <c r="AB17" s="179">
        <f>ROUND(AVERAGE(D17,G17,J17,V17),0)</f>
        <v>9033</v>
      </c>
      <c r="AC17" s="179">
        <f>ROUND(STDEVA(D17,G17,J17,V17),0)</f>
        <v>490</v>
      </c>
      <c r="AD17" s="158">
        <f t="shared" si="4"/>
        <v>5.4245544116019041E-2</v>
      </c>
      <c r="AE17" s="179">
        <f t="shared" si="5"/>
        <v>8543</v>
      </c>
      <c r="AF17" s="179">
        <f t="shared" si="6"/>
        <v>9523</v>
      </c>
      <c r="AH17" s="179">
        <f t="shared" si="14"/>
        <v>9075.6302521008402</v>
      </c>
      <c r="AI17" s="179" t="str">
        <f t="shared" si="15"/>
        <v/>
      </c>
      <c r="AJ17" s="179">
        <f t="shared" si="16"/>
        <v>8800</v>
      </c>
      <c r="AK17" s="179" t="str">
        <f t="shared" si="17"/>
        <v/>
      </c>
      <c r="AL17" s="179" t="str">
        <f t="shared" si="18"/>
        <v/>
      </c>
      <c r="AM17" s="179" t="str">
        <f t="shared" si="19"/>
        <v/>
      </c>
      <c r="AN17" s="179">
        <f t="shared" si="20"/>
        <v>8558.7731429245141</v>
      </c>
      <c r="AO17" s="179">
        <f t="shared" si="21"/>
        <v>8811</v>
      </c>
      <c r="AQ17" s="186">
        <f t="shared" si="22"/>
        <v>8811</v>
      </c>
      <c r="AR17" s="186">
        <f t="shared" si="23"/>
        <v>1674</v>
      </c>
      <c r="AS17" s="186">
        <f t="shared" si="24"/>
        <v>10485</v>
      </c>
      <c r="AU17" s="191">
        <v>8558.7731429245141</v>
      </c>
      <c r="AV17" s="182">
        <f t="shared" si="25"/>
        <v>1626.1668971556576</v>
      </c>
      <c r="AW17" s="179">
        <f t="shared" si="26"/>
        <v>10184.940040080171</v>
      </c>
      <c r="AY17" s="158">
        <f t="shared" si="27"/>
        <v>2.9469978098905485E-2</v>
      </c>
      <c r="AZ17" s="188" t="str">
        <f t="shared" si="28"/>
        <v>AUMENTO</v>
      </c>
      <c r="BA17" s="159"/>
      <c r="BC17" s="177">
        <v>10270.527771509416</v>
      </c>
      <c r="BE17" s="189">
        <f t="shared" si="29"/>
        <v>1762</v>
      </c>
      <c r="BF17" s="190">
        <f t="shared" si="30"/>
        <v>10573</v>
      </c>
      <c r="BG17" s="190">
        <f t="shared" si="31"/>
        <v>10573</v>
      </c>
    </row>
    <row r="18" spans="1:59" s="166" customFormat="1" ht="12" x14ac:dyDescent="0.2">
      <c r="A18" s="172">
        <v>6</v>
      </c>
      <c r="B18" s="173" t="s">
        <v>118</v>
      </c>
      <c r="C18" s="174" t="s">
        <v>3</v>
      </c>
      <c r="D18" s="175">
        <f t="shared" si="7"/>
        <v>1260.5042016806724</v>
      </c>
      <c r="E18" s="176">
        <f t="shared" si="8"/>
        <v>239.49579831932775</v>
      </c>
      <c r="F18" s="177">
        <v>1500</v>
      </c>
      <c r="G18" s="175">
        <v>1292.8248222365869</v>
      </c>
      <c r="H18" s="178">
        <v>245.63671622495153</v>
      </c>
      <c r="I18" s="179">
        <v>1538.4615384615383</v>
      </c>
      <c r="J18" s="192">
        <v>2000</v>
      </c>
      <c r="K18" s="178">
        <f t="shared" si="9"/>
        <v>380</v>
      </c>
      <c r="L18" s="179">
        <f t="shared" si="10"/>
        <v>2380</v>
      </c>
      <c r="M18" s="181">
        <v>3000</v>
      </c>
      <c r="N18" s="182">
        <v>570</v>
      </c>
      <c r="O18" s="179">
        <v>3570</v>
      </c>
      <c r="P18" s="181">
        <v>823</v>
      </c>
      <c r="Q18" s="182">
        <v>156.37</v>
      </c>
      <c r="R18" s="179">
        <v>979.37</v>
      </c>
      <c r="S18" s="181">
        <v>2521.0084033613448</v>
      </c>
      <c r="T18" s="182">
        <v>478.99159663865549</v>
      </c>
      <c r="U18" s="179">
        <v>3000.0000000000005</v>
      </c>
      <c r="V18" s="191">
        <v>1040.5456470242179</v>
      </c>
      <c r="W18" s="182">
        <f t="shared" si="11"/>
        <v>197.70367293460143</v>
      </c>
      <c r="X18" s="179">
        <f t="shared" si="12"/>
        <v>1238.2493199588193</v>
      </c>
      <c r="Y18" s="184"/>
      <c r="Z18" s="177">
        <f t="shared" si="13"/>
        <v>1248.6547764290615</v>
      </c>
      <c r="AB18" s="179">
        <f>ROUND(AVERAGE(D18,G18,V18),0)</f>
        <v>1198</v>
      </c>
      <c r="AC18" s="179">
        <f>ROUND(STDEVA(D18,G18,V18),0)</f>
        <v>137</v>
      </c>
      <c r="AD18" s="158">
        <f t="shared" si="4"/>
        <v>0.11435726210350584</v>
      </c>
      <c r="AE18" s="179">
        <f t="shared" si="5"/>
        <v>1061</v>
      </c>
      <c r="AF18" s="179">
        <f t="shared" si="6"/>
        <v>1335</v>
      </c>
      <c r="AH18" s="179">
        <f t="shared" si="14"/>
        <v>1260.5042016806724</v>
      </c>
      <c r="AI18" s="179">
        <f t="shared" si="15"/>
        <v>1292.8248222365869</v>
      </c>
      <c r="AJ18" s="179" t="str">
        <f t="shared" si="16"/>
        <v/>
      </c>
      <c r="AK18" s="179" t="str">
        <f t="shared" si="17"/>
        <v/>
      </c>
      <c r="AL18" s="179" t="str">
        <f t="shared" si="18"/>
        <v/>
      </c>
      <c r="AM18" s="179" t="str">
        <f t="shared" si="19"/>
        <v/>
      </c>
      <c r="AN18" s="179" t="str">
        <f t="shared" si="20"/>
        <v/>
      </c>
      <c r="AO18" s="179">
        <f t="shared" si="21"/>
        <v>1277</v>
      </c>
      <c r="AQ18" s="186">
        <f t="shared" si="22"/>
        <v>1277</v>
      </c>
      <c r="AR18" s="186">
        <f t="shared" si="23"/>
        <v>243</v>
      </c>
      <c r="AS18" s="186">
        <f t="shared" si="24"/>
        <v>1520</v>
      </c>
      <c r="AU18" s="191">
        <v>1040.5456470242179</v>
      </c>
      <c r="AV18" s="182">
        <f t="shared" si="25"/>
        <v>197.70367293460143</v>
      </c>
      <c r="AW18" s="179">
        <f t="shared" si="26"/>
        <v>1238.2493199588193</v>
      </c>
      <c r="AY18" s="158">
        <f t="shared" si="27"/>
        <v>0.22724073052633581</v>
      </c>
      <c r="AZ18" s="188" t="str">
        <f t="shared" si="28"/>
        <v>AUMENTO</v>
      </c>
      <c r="BA18" s="159"/>
      <c r="BC18" s="177">
        <v>1248.6547764290615</v>
      </c>
      <c r="BE18" s="189">
        <f>+ROUND(AQ18*$BG$10,0)</f>
        <v>255</v>
      </c>
      <c r="BF18" s="190">
        <f t="shared" si="30"/>
        <v>1532</v>
      </c>
      <c r="BG18" s="190">
        <f t="shared" si="31"/>
        <v>1532</v>
      </c>
    </row>
    <row r="19" spans="1:59" s="166" customFormat="1" ht="12" x14ac:dyDescent="0.2">
      <c r="A19" s="172">
        <v>7</v>
      </c>
      <c r="B19" s="193" t="s">
        <v>119</v>
      </c>
      <c r="C19" s="174" t="s">
        <v>3</v>
      </c>
      <c r="D19" s="181">
        <f t="shared" si="7"/>
        <v>2091428.5714285716</v>
      </c>
      <c r="E19" s="176">
        <f t="shared" si="8"/>
        <v>397371.42857142858</v>
      </c>
      <c r="F19" s="177">
        <v>2488800</v>
      </c>
      <c r="G19" s="194">
        <v>184744.66709760827</v>
      </c>
      <c r="H19" s="178">
        <v>35101.486748545569</v>
      </c>
      <c r="I19" s="194">
        <v>219846.15384615384</v>
      </c>
      <c r="J19" s="195">
        <v>140400</v>
      </c>
      <c r="K19" s="178">
        <f t="shared" si="9"/>
        <v>26676</v>
      </c>
      <c r="L19" s="179">
        <f t="shared" si="10"/>
        <v>167076</v>
      </c>
      <c r="M19" s="181">
        <v>383700</v>
      </c>
      <c r="N19" s="182">
        <v>72903</v>
      </c>
      <c r="O19" s="179">
        <v>456603</v>
      </c>
      <c r="P19" s="181">
        <v>235126</v>
      </c>
      <c r="Q19" s="182">
        <v>44673.94</v>
      </c>
      <c r="R19" s="179">
        <v>279799.94</v>
      </c>
      <c r="S19" s="181">
        <v>352689.07563025213</v>
      </c>
      <c r="T19" s="182">
        <v>67010.924369747911</v>
      </c>
      <c r="U19" s="179">
        <v>419700.00000000006</v>
      </c>
      <c r="V19" s="191">
        <v>142139.71117748463</v>
      </c>
      <c r="W19" s="182">
        <f t="shared" si="11"/>
        <v>27006.545123722077</v>
      </c>
      <c r="X19" s="179">
        <f t="shared" si="12"/>
        <v>169146.25630120671</v>
      </c>
      <c r="Y19" s="184"/>
      <c r="Z19" s="177">
        <f t="shared" si="13"/>
        <v>170567.65341298154</v>
      </c>
      <c r="AB19" s="179">
        <f>ROUND(AVERAGE(G19,J19,V19),0)</f>
        <v>155761</v>
      </c>
      <c r="AC19" s="179">
        <f>ROUND(STDEVA(G19,J19,V19),0)</f>
        <v>25115</v>
      </c>
      <c r="AD19" s="158">
        <f t="shared" si="4"/>
        <v>0.16124061864009603</v>
      </c>
      <c r="AE19" s="179">
        <f t="shared" si="5"/>
        <v>130646</v>
      </c>
      <c r="AF19" s="179">
        <f t="shared" si="6"/>
        <v>180876</v>
      </c>
      <c r="AH19" s="179" t="str">
        <f t="shared" si="14"/>
        <v/>
      </c>
      <c r="AI19" s="179" t="str">
        <f t="shared" si="15"/>
        <v/>
      </c>
      <c r="AJ19" s="179">
        <f t="shared" si="16"/>
        <v>140400</v>
      </c>
      <c r="AK19" s="179" t="str">
        <f t="shared" si="17"/>
        <v/>
      </c>
      <c r="AL19" s="179" t="str">
        <f t="shared" si="18"/>
        <v/>
      </c>
      <c r="AM19" s="179" t="str">
        <f t="shared" si="19"/>
        <v/>
      </c>
      <c r="AN19" s="179">
        <f t="shared" si="20"/>
        <v>142139.71117748463</v>
      </c>
      <c r="AO19" s="179">
        <f t="shared" si="21"/>
        <v>141270</v>
      </c>
      <c r="AQ19" s="186">
        <f t="shared" si="22"/>
        <v>141270</v>
      </c>
      <c r="AR19" s="186">
        <f t="shared" si="23"/>
        <v>26841</v>
      </c>
      <c r="AS19" s="186">
        <f t="shared" si="24"/>
        <v>168111</v>
      </c>
      <c r="AU19" s="191">
        <v>142139.71117748463</v>
      </c>
      <c r="AV19" s="182">
        <f t="shared" si="25"/>
        <v>27006.545123722077</v>
      </c>
      <c r="AW19" s="179">
        <f t="shared" si="26"/>
        <v>169146.25630120671</v>
      </c>
      <c r="AY19" s="158">
        <f t="shared" si="27"/>
        <v>-6.1187065196625506E-3</v>
      </c>
      <c r="AZ19" s="188" t="str">
        <f t="shared" si="28"/>
        <v>AUMENTO</v>
      </c>
      <c r="BA19" s="159"/>
      <c r="BC19" s="177">
        <v>170567.65341298154</v>
      </c>
      <c r="BE19" s="189">
        <f t="shared" si="29"/>
        <v>28254</v>
      </c>
      <c r="BF19" s="190">
        <f t="shared" si="30"/>
        <v>169524</v>
      </c>
      <c r="BG19" s="190">
        <f t="shared" si="31"/>
        <v>169524</v>
      </c>
    </row>
    <row r="20" spans="1:59" s="166" customFormat="1" ht="24" x14ac:dyDescent="0.2">
      <c r="A20" s="196">
        <v>8</v>
      </c>
      <c r="B20" s="173" t="s">
        <v>121</v>
      </c>
      <c r="C20" s="174" t="s">
        <v>9</v>
      </c>
      <c r="D20" s="175">
        <f t="shared" si="7"/>
        <v>9056.7226890756301</v>
      </c>
      <c r="E20" s="176">
        <f t="shared" si="8"/>
        <v>1720.7773109243697</v>
      </c>
      <c r="F20" s="177">
        <v>10777.5</v>
      </c>
      <c r="G20" s="175">
        <v>9476.4059469941822</v>
      </c>
      <c r="H20" s="178">
        <v>1800.5171299288945</v>
      </c>
      <c r="I20" s="179">
        <v>11276.923076923076</v>
      </c>
      <c r="J20" s="192">
        <v>22000</v>
      </c>
      <c r="K20" s="197">
        <f t="shared" si="9"/>
        <v>4180</v>
      </c>
      <c r="L20" s="181">
        <f t="shared" si="10"/>
        <v>26180</v>
      </c>
      <c r="M20" s="181">
        <v>53700</v>
      </c>
      <c r="N20" s="198">
        <v>10203</v>
      </c>
      <c r="O20" s="181">
        <v>63903</v>
      </c>
      <c r="P20" s="181">
        <v>30235</v>
      </c>
      <c r="Q20" s="198">
        <v>5744.65</v>
      </c>
      <c r="R20" s="181">
        <v>35979.65</v>
      </c>
      <c r="S20" s="181">
        <v>45352.941176470587</v>
      </c>
      <c r="T20" s="182">
        <v>8617.0588235294108</v>
      </c>
      <c r="U20" s="179">
        <v>53970</v>
      </c>
      <c r="V20" s="191">
        <v>6144.4367372117704</v>
      </c>
      <c r="W20" s="182">
        <f t="shared" si="11"/>
        <v>1167.4429800702364</v>
      </c>
      <c r="X20" s="179">
        <f t="shared" si="12"/>
        <v>7311.8797172820068</v>
      </c>
      <c r="Y20" s="184"/>
      <c r="Z20" s="177">
        <f t="shared" si="13"/>
        <v>7373.3240846541239</v>
      </c>
      <c r="AB20" s="179">
        <f>ROUND(AVERAGE(D20,G20,V20),0)</f>
        <v>8226</v>
      </c>
      <c r="AC20" s="179">
        <f>ROUND(STDEVA(D20,G20,V20),0)</f>
        <v>1815</v>
      </c>
      <c r="AD20" s="158">
        <f t="shared" si="4"/>
        <v>0.22064186725018234</v>
      </c>
      <c r="AE20" s="179">
        <f t="shared" si="5"/>
        <v>6411</v>
      </c>
      <c r="AF20" s="179">
        <f t="shared" si="6"/>
        <v>10041</v>
      </c>
      <c r="AH20" s="179">
        <f t="shared" si="14"/>
        <v>9056.7226890756301</v>
      </c>
      <c r="AI20" s="179">
        <f t="shared" si="15"/>
        <v>9476.4059469941822</v>
      </c>
      <c r="AJ20" s="179" t="str">
        <f t="shared" si="16"/>
        <v/>
      </c>
      <c r="AK20" s="179" t="str">
        <f t="shared" si="17"/>
        <v/>
      </c>
      <c r="AL20" s="179" t="str">
        <f t="shared" si="18"/>
        <v/>
      </c>
      <c r="AM20" s="179" t="str">
        <f t="shared" si="19"/>
        <v/>
      </c>
      <c r="AN20" s="179" t="str">
        <f t="shared" si="20"/>
        <v/>
      </c>
      <c r="AO20" s="179">
        <f t="shared" si="21"/>
        <v>9267</v>
      </c>
      <c r="AQ20" s="186">
        <f t="shared" si="22"/>
        <v>9267</v>
      </c>
      <c r="AR20" s="186">
        <f t="shared" si="23"/>
        <v>1761</v>
      </c>
      <c r="AS20" s="186">
        <f t="shared" si="24"/>
        <v>11028</v>
      </c>
      <c r="AU20" s="191">
        <v>6144.4367372117704</v>
      </c>
      <c r="AV20" s="182">
        <f t="shared" si="25"/>
        <v>1167.4429800702364</v>
      </c>
      <c r="AW20" s="179">
        <f t="shared" si="26"/>
        <v>7311.8797172820068</v>
      </c>
      <c r="AY20" s="158">
        <f t="shared" si="27"/>
        <v>0.50819357352602346</v>
      </c>
      <c r="AZ20" s="188" t="str">
        <f t="shared" si="28"/>
        <v>AUMENTO</v>
      </c>
      <c r="BA20" s="159"/>
      <c r="BC20" s="177">
        <v>7373.3240846541239</v>
      </c>
      <c r="BE20" s="189">
        <f t="shared" si="29"/>
        <v>1853</v>
      </c>
      <c r="BF20" s="190">
        <f t="shared" si="30"/>
        <v>11120</v>
      </c>
      <c r="BG20" s="190">
        <f t="shared" si="31"/>
        <v>11120</v>
      </c>
    </row>
    <row r="21" spans="1:59" s="166" customFormat="1" ht="12" x14ac:dyDescent="0.2">
      <c r="A21" s="172">
        <v>9</v>
      </c>
      <c r="B21" s="173" t="s">
        <v>40</v>
      </c>
      <c r="C21" s="174" t="s">
        <v>3</v>
      </c>
      <c r="D21" s="175">
        <f t="shared" si="7"/>
        <v>44117.647058823532</v>
      </c>
      <c r="E21" s="176">
        <f t="shared" si="8"/>
        <v>8382.3529411764703</v>
      </c>
      <c r="F21" s="177">
        <v>52500</v>
      </c>
      <c r="G21" s="175">
        <v>55462.184873949584</v>
      </c>
      <c r="H21" s="178">
        <v>10537.815126050422</v>
      </c>
      <c r="I21" s="179">
        <v>66000</v>
      </c>
      <c r="J21" s="180">
        <v>49333.333333333336</v>
      </c>
      <c r="K21" s="178">
        <f t="shared" si="9"/>
        <v>9373.3333333333339</v>
      </c>
      <c r="L21" s="179">
        <f t="shared" si="10"/>
        <v>58706.666666666672</v>
      </c>
      <c r="M21" s="181">
        <v>128700</v>
      </c>
      <c r="N21" s="182">
        <v>24453</v>
      </c>
      <c r="O21" s="179">
        <v>153153</v>
      </c>
      <c r="P21" s="181">
        <v>38107</v>
      </c>
      <c r="Q21" s="182">
        <v>7240.33</v>
      </c>
      <c r="R21" s="179">
        <v>45347.33</v>
      </c>
      <c r="S21" s="181">
        <v>108151.26050420168</v>
      </c>
      <c r="T21" s="182">
        <v>20548.73949579832</v>
      </c>
      <c r="U21" s="179">
        <v>128700</v>
      </c>
      <c r="V21" s="191">
        <v>54078.82431200998</v>
      </c>
      <c r="W21" s="182">
        <f t="shared" si="11"/>
        <v>10274.976619281895</v>
      </c>
      <c r="X21" s="179">
        <f t="shared" si="12"/>
        <v>64353.800931291873</v>
      </c>
      <c r="Y21" s="184"/>
      <c r="Z21" s="177">
        <f t="shared" si="13"/>
        <v>64894.589174411973</v>
      </c>
      <c r="AB21" s="179">
        <f>ROUND(AVERAGE(D21,G21,J21,V21),0)</f>
        <v>50748</v>
      </c>
      <c r="AC21" s="179">
        <f>ROUND(STDEVA(D21,G21,J21,V21),0)</f>
        <v>5141</v>
      </c>
      <c r="AD21" s="158">
        <f t="shared" si="4"/>
        <v>0.10130448490580909</v>
      </c>
      <c r="AE21" s="179">
        <f t="shared" si="5"/>
        <v>45607</v>
      </c>
      <c r="AF21" s="179">
        <f t="shared" si="6"/>
        <v>55889</v>
      </c>
      <c r="AH21" s="179" t="str">
        <f t="shared" si="14"/>
        <v/>
      </c>
      <c r="AI21" s="179">
        <f t="shared" si="15"/>
        <v>55462.184873949584</v>
      </c>
      <c r="AJ21" s="179">
        <f t="shared" si="16"/>
        <v>49333.333333333336</v>
      </c>
      <c r="AK21" s="179" t="str">
        <f t="shared" si="17"/>
        <v/>
      </c>
      <c r="AL21" s="179" t="str">
        <f t="shared" si="18"/>
        <v/>
      </c>
      <c r="AM21" s="179" t="str">
        <f t="shared" si="19"/>
        <v/>
      </c>
      <c r="AN21" s="179">
        <f t="shared" si="20"/>
        <v>54078.82431200998</v>
      </c>
      <c r="AO21" s="179">
        <f t="shared" si="21"/>
        <v>52958</v>
      </c>
      <c r="AQ21" s="186">
        <f t="shared" si="22"/>
        <v>52958</v>
      </c>
      <c r="AR21" s="186">
        <f t="shared" si="23"/>
        <v>10062</v>
      </c>
      <c r="AS21" s="186">
        <f t="shared" si="24"/>
        <v>63020</v>
      </c>
      <c r="AU21" s="191">
        <v>54078.82431200998</v>
      </c>
      <c r="AV21" s="182">
        <f t="shared" si="25"/>
        <v>10274.976619281895</v>
      </c>
      <c r="AW21" s="179">
        <f t="shared" si="26"/>
        <v>64353.800931291873</v>
      </c>
      <c r="AY21" s="158">
        <f t="shared" si="27"/>
        <v>-2.0725752200960179E-2</v>
      </c>
      <c r="AZ21" s="188" t="str">
        <f t="shared" si="28"/>
        <v>AUMENTO</v>
      </c>
      <c r="BA21" s="159"/>
      <c r="BC21" s="177">
        <v>64894.589174411973</v>
      </c>
      <c r="BE21" s="189">
        <f t="shared" si="29"/>
        <v>10592</v>
      </c>
      <c r="BF21" s="190">
        <f t="shared" si="30"/>
        <v>63550</v>
      </c>
      <c r="BG21" s="190">
        <f t="shared" si="31"/>
        <v>63550</v>
      </c>
    </row>
    <row r="22" spans="1:59" s="166" customFormat="1" ht="12" x14ac:dyDescent="0.2">
      <c r="A22" s="172">
        <v>10</v>
      </c>
      <c r="B22" s="173" t="s">
        <v>123</v>
      </c>
      <c r="C22" s="174" t="s">
        <v>3</v>
      </c>
      <c r="D22" s="175">
        <f t="shared" si="7"/>
        <v>12415.966386554623</v>
      </c>
      <c r="E22" s="176">
        <f t="shared" si="8"/>
        <v>2359.0336134453783</v>
      </c>
      <c r="F22" s="177">
        <v>14775</v>
      </c>
      <c r="G22" s="175">
        <v>13186.813186813186</v>
      </c>
      <c r="H22" s="178">
        <v>2505.4945054945056</v>
      </c>
      <c r="I22" s="179">
        <v>15692.307692307691</v>
      </c>
      <c r="J22" s="180">
        <v>12800</v>
      </c>
      <c r="K22" s="178">
        <f t="shared" si="9"/>
        <v>2432</v>
      </c>
      <c r="L22" s="179">
        <f t="shared" si="10"/>
        <v>15232</v>
      </c>
      <c r="M22" s="181">
        <v>29550</v>
      </c>
      <c r="N22" s="182">
        <v>5614.5</v>
      </c>
      <c r="O22" s="179">
        <v>35164.5</v>
      </c>
      <c r="P22" s="181">
        <v>16555</v>
      </c>
      <c r="Q22" s="182">
        <v>3145.45</v>
      </c>
      <c r="R22" s="179">
        <v>19700.45</v>
      </c>
      <c r="S22" s="181">
        <v>24831.932773109245</v>
      </c>
      <c r="T22" s="182">
        <v>4718.0672268907565</v>
      </c>
      <c r="U22" s="179">
        <v>29550</v>
      </c>
      <c r="V22" s="199">
        <v>6637.4652572406267</v>
      </c>
      <c r="W22" s="182">
        <f t="shared" si="11"/>
        <v>1261.1183988757191</v>
      </c>
      <c r="X22" s="179">
        <f t="shared" si="12"/>
        <v>7898.583656116346</v>
      </c>
      <c r="Y22" s="184"/>
      <c r="Z22" s="177">
        <f t="shared" si="13"/>
        <v>7964.9583086887515</v>
      </c>
      <c r="AB22" s="179">
        <f>ROUND(AVERAGE(D22,G22,J22),0)</f>
        <v>12801</v>
      </c>
      <c r="AC22" s="179">
        <f>ROUND(STDEVA(D22,G22,J22),0)</f>
        <v>385</v>
      </c>
      <c r="AD22" s="158">
        <f t="shared" si="4"/>
        <v>3.0075775330052339E-2</v>
      </c>
      <c r="AE22" s="179">
        <f t="shared" si="5"/>
        <v>12416</v>
      </c>
      <c r="AF22" s="179">
        <f t="shared" si="6"/>
        <v>13186</v>
      </c>
      <c r="AH22" s="179" t="str">
        <f t="shared" si="14"/>
        <v/>
      </c>
      <c r="AI22" s="179" t="str">
        <f t="shared" si="15"/>
        <v/>
      </c>
      <c r="AJ22" s="179">
        <f t="shared" si="16"/>
        <v>12800</v>
      </c>
      <c r="AK22" s="179" t="str">
        <f t="shared" si="17"/>
        <v/>
      </c>
      <c r="AL22" s="179" t="str">
        <f t="shared" si="18"/>
        <v/>
      </c>
      <c r="AM22" s="179" t="str">
        <f t="shared" si="19"/>
        <v/>
      </c>
      <c r="AN22" s="179" t="str">
        <f t="shared" si="20"/>
        <v/>
      </c>
      <c r="AO22" s="179">
        <f t="shared" si="21"/>
        <v>12800</v>
      </c>
      <c r="AQ22" s="186">
        <f t="shared" si="22"/>
        <v>12800</v>
      </c>
      <c r="AR22" s="186">
        <f t="shared" si="23"/>
        <v>2432</v>
      </c>
      <c r="AS22" s="186">
        <f t="shared" si="24"/>
        <v>15232</v>
      </c>
      <c r="AU22" s="191">
        <v>6637.4652572406267</v>
      </c>
      <c r="AV22" s="182">
        <f t="shared" si="25"/>
        <v>1261.1183988757191</v>
      </c>
      <c r="AW22" s="179">
        <f t="shared" si="26"/>
        <v>7898.583656116346</v>
      </c>
      <c r="AY22" s="158">
        <f t="shared" si="27"/>
        <v>0.92844700558497617</v>
      </c>
      <c r="AZ22" s="188" t="str">
        <f t="shared" si="28"/>
        <v>AUMENTO</v>
      </c>
      <c r="BA22" s="159"/>
      <c r="BC22" s="177">
        <v>7964.9583086887515</v>
      </c>
      <c r="BE22" s="189">
        <f t="shared" si="29"/>
        <v>2560</v>
      </c>
      <c r="BF22" s="190">
        <f t="shared" si="30"/>
        <v>15360</v>
      </c>
      <c r="BG22" s="190">
        <f t="shared" si="31"/>
        <v>15360</v>
      </c>
    </row>
    <row r="23" spans="1:59" s="166" customFormat="1" ht="12" x14ac:dyDescent="0.2">
      <c r="A23" s="172">
        <v>11</v>
      </c>
      <c r="B23" s="173" t="s">
        <v>124</v>
      </c>
      <c r="C23" s="174" t="s">
        <v>9</v>
      </c>
      <c r="D23" s="175">
        <f t="shared" si="7"/>
        <v>8571.4285714285725</v>
      </c>
      <c r="E23" s="176">
        <f t="shared" si="8"/>
        <v>1628.5714285714289</v>
      </c>
      <c r="F23" s="177">
        <v>10200</v>
      </c>
      <c r="G23" s="175">
        <v>10213.316095669037</v>
      </c>
      <c r="H23" s="178">
        <v>1940.5300581771171</v>
      </c>
      <c r="I23" s="179">
        <v>12153.846153846154</v>
      </c>
      <c r="J23" s="180">
        <v>9066.6666666666661</v>
      </c>
      <c r="K23" s="178">
        <f t="shared" si="9"/>
        <v>1722.6666666666665</v>
      </c>
      <c r="L23" s="179">
        <f t="shared" si="10"/>
        <v>10789.333333333332</v>
      </c>
      <c r="M23" s="181">
        <v>23400</v>
      </c>
      <c r="N23" s="182">
        <v>4446</v>
      </c>
      <c r="O23" s="179">
        <v>27846</v>
      </c>
      <c r="P23" s="181">
        <v>12200</v>
      </c>
      <c r="Q23" s="182">
        <v>2318</v>
      </c>
      <c r="R23" s="179">
        <v>14518</v>
      </c>
      <c r="S23" s="181">
        <v>19663.865546218487</v>
      </c>
      <c r="T23" s="182">
        <v>3736.1344537815125</v>
      </c>
      <c r="U23" s="179">
        <v>23400</v>
      </c>
      <c r="V23" s="199">
        <v>7264.1156883394424</v>
      </c>
      <c r="W23" s="182">
        <f t="shared" si="11"/>
        <v>1380.181980784494</v>
      </c>
      <c r="X23" s="179">
        <f t="shared" si="12"/>
        <v>8644.2976691239364</v>
      </c>
      <c r="Y23" s="184"/>
      <c r="Z23" s="177">
        <f t="shared" si="13"/>
        <v>8716.9388260073301</v>
      </c>
      <c r="AB23" s="179">
        <f>ROUND(AVERAGE(D23,G23,J23),0)</f>
        <v>9284</v>
      </c>
      <c r="AC23" s="179">
        <f>ROUND(STDEVA(D23,G23,J23),0)</f>
        <v>842</v>
      </c>
      <c r="AD23" s="158">
        <f t="shared" si="4"/>
        <v>9.0693666523050415E-2</v>
      </c>
      <c r="AE23" s="179">
        <f t="shared" si="5"/>
        <v>8442</v>
      </c>
      <c r="AF23" s="179">
        <f t="shared" si="6"/>
        <v>10126</v>
      </c>
      <c r="AH23" s="179">
        <f t="shared" si="14"/>
        <v>8571.4285714285725</v>
      </c>
      <c r="AI23" s="179" t="str">
        <f t="shared" si="15"/>
        <v/>
      </c>
      <c r="AJ23" s="179">
        <f t="shared" si="16"/>
        <v>9066.6666666666661</v>
      </c>
      <c r="AK23" s="179" t="str">
        <f t="shared" si="17"/>
        <v/>
      </c>
      <c r="AL23" s="179" t="str">
        <f t="shared" si="18"/>
        <v/>
      </c>
      <c r="AM23" s="179" t="str">
        <f t="shared" si="19"/>
        <v/>
      </c>
      <c r="AN23" s="179" t="str">
        <f t="shared" si="20"/>
        <v/>
      </c>
      <c r="AO23" s="179">
        <f t="shared" si="21"/>
        <v>8819</v>
      </c>
      <c r="AQ23" s="186">
        <f t="shared" si="22"/>
        <v>8819</v>
      </c>
      <c r="AR23" s="186">
        <f t="shared" si="23"/>
        <v>1676</v>
      </c>
      <c r="AS23" s="186">
        <f t="shared" si="24"/>
        <v>10495</v>
      </c>
      <c r="AU23" s="191">
        <v>7264.1156883394424</v>
      </c>
      <c r="AV23" s="182">
        <f t="shared" si="25"/>
        <v>1380.181980784494</v>
      </c>
      <c r="AW23" s="179">
        <f t="shared" si="26"/>
        <v>8644.2976691239364</v>
      </c>
      <c r="AY23" s="158">
        <f t="shared" si="27"/>
        <v>0.21405004798540042</v>
      </c>
      <c r="AZ23" s="188" t="str">
        <f t="shared" si="28"/>
        <v>AUMENTO</v>
      </c>
      <c r="BA23" s="159"/>
      <c r="BC23" s="177">
        <v>8716.9388260073301</v>
      </c>
      <c r="BE23" s="189">
        <f t="shared" si="29"/>
        <v>1764</v>
      </c>
      <c r="BF23" s="190">
        <f t="shared" si="30"/>
        <v>10583</v>
      </c>
      <c r="BG23" s="190">
        <f t="shared" si="31"/>
        <v>10583</v>
      </c>
    </row>
    <row r="24" spans="1:59" s="166" customFormat="1" ht="12" x14ac:dyDescent="0.2">
      <c r="A24" s="172">
        <v>12</v>
      </c>
      <c r="B24" s="173" t="s">
        <v>125</v>
      </c>
      <c r="C24" s="174" t="s">
        <v>9</v>
      </c>
      <c r="D24" s="175">
        <f t="shared" si="7"/>
        <v>5294.1176470588234</v>
      </c>
      <c r="E24" s="176">
        <f t="shared" si="8"/>
        <v>1005.8823529411765</v>
      </c>
      <c r="F24" s="177">
        <v>6300</v>
      </c>
      <c r="G24" s="175">
        <v>7627.6664511958625</v>
      </c>
      <c r="H24" s="178">
        <v>1449.256625727214</v>
      </c>
      <c r="I24" s="179">
        <v>9076.9230769230762</v>
      </c>
      <c r="J24" s="192">
        <v>10400</v>
      </c>
      <c r="K24" s="178">
        <f t="shared" si="9"/>
        <v>1976</v>
      </c>
      <c r="L24" s="179">
        <f t="shared" si="10"/>
        <v>12376</v>
      </c>
      <c r="M24" s="181">
        <v>23700</v>
      </c>
      <c r="N24" s="182">
        <v>4503</v>
      </c>
      <c r="O24" s="179">
        <v>28203</v>
      </c>
      <c r="P24" s="181">
        <v>11800</v>
      </c>
      <c r="Q24" s="182">
        <v>2242</v>
      </c>
      <c r="R24" s="179">
        <v>14042</v>
      </c>
      <c r="S24" s="181">
        <v>19915.966386554624</v>
      </c>
      <c r="T24" s="182">
        <v>3784.0336134453787</v>
      </c>
      <c r="U24" s="179">
        <v>23700.000000000004</v>
      </c>
      <c r="V24" s="191">
        <v>5256.6529089820688</v>
      </c>
      <c r="W24" s="182">
        <f t="shared" si="11"/>
        <v>998.76405270659302</v>
      </c>
      <c r="X24" s="179">
        <f t="shared" si="12"/>
        <v>6255.416961688662</v>
      </c>
      <c r="Y24" s="184"/>
      <c r="Z24" s="177">
        <f t="shared" si="13"/>
        <v>6307.9834907784825</v>
      </c>
      <c r="AB24" s="179">
        <f>ROUND(AVERAGE(D24,G24,V24),0)</f>
        <v>6059</v>
      </c>
      <c r="AC24" s="179">
        <f>ROUND(STDEVA(D24,G24,V24),0)</f>
        <v>1358</v>
      </c>
      <c r="AD24" s="158">
        <f t="shared" si="4"/>
        <v>0.22412939428948672</v>
      </c>
      <c r="AE24" s="179">
        <f t="shared" si="5"/>
        <v>4701</v>
      </c>
      <c r="AF24" s="179">
        <f t="shared" si="6"/>
        <v>7417</v>
      </c>
      <c r="AH24" s="179">
        <f t="shared" si="14"/>
        <v>5294.1176470588234</v>
      </c>
      <c r="AI24" s="179" t="str">
        <f t="shared" si="15"/>
        <v/>
      </c>
      <c r="AJ24" s="179" t="str">
        <f t="shared" si="16"/>
        <v/>
      </c>
      <c r="AK24" s="179" t="str">
        <f t="shared" si="17"/>
        <v/>
      </c>
      <c r="AL24" s="179" t="str">
        <f t="shared" si="18"/>
        <v/>
      </c>
      <c r="AM24" s="179" t="str">
        <f t="shared" si="19"/>
        <v/>
      </c>
      <c r="AN24" s="179">
        <f t="shared" si="20"/>
        <v>5256.6529089820688</v>
      </c>
      <c r="AO24" s="179">
        <f t="shared" si="21"/>
        <v>5275</v>
      </c>
      <c r="AQ24" s="186">
        <f t="shared" si="22"/>
        <v>5275</v>
      </c>
      <c r="AR24" s="186">
        <f t="shared" si="23"/>
        <v>1002</v>
      </c>
      <c r="AS24" s="186">
        <f t="shared" si="24"/>
        <v>6277</v>
      </c>
      <c r="AU24" s="191">
        <v>5256.6529089820688</v>
      </c>
      <c r="AV24" s="182">
        <f t="shared" si="25"/>
        <v>998.76405270659302</v>
      </c>
      <c r="AW24" s="179">
        <f t="shared" si="26"/>
        <v>6255.416961688662</v>
      </c>
      <c r="AY24" s="158">
        <f t="shared" si="27"/>
        <v>3.4902610721323198E-3</v>
      </c>
      <c r="AZ24" s="188" t="str">
        <f t="shared" si="28"/>
        <v>AUMENTO</v>
      </c>
      <c r="BA24" s="159"/>
      <c r="BC24" s="177">
        <v>6307.9834907784825</v>
      </c>
      <c r="BE24" s="189">
        <f t="shared" si="29"/>
        <v>1055</v>
      </c>
      <c r="BF24" s="190">
        <f t="shared" si="30"/>
        <v>6330</v>
      </c>
      <c r="BG24" s="190">
        <f t="shared" si="31"/>
        <v>6330</v>
      </c>
    </row>
    <row r="25" spans="1:59" s="166" customFormat="1" ht="24" x14ac:dyDescent="0.2">
      <c r="A25" s="172">
        <v>13</v>
      </c>
      <c r="B25" s="173" t="s">
        <v>202</v>
      </c>
      <c r="C25" s="174" t="s">
        <v>3</v>
      </c>
      <c r="D25" s="181">
        <f t="shared" si="7"/>
        <v>409663.86554621853</v>
      </c>
      <c r="E25" s="176">
        <f t="shared" si="8"/>
        <v>77836.134453781517</v>
      </c>
      <c r="F25" s="177">
        <v>487500</v>
      </c>
      <c r="G25" s="181">
        <v>168842.92178409826</v>
      </c>
      <c r="H25" s="178">
        <v>32080.155138978669</v>
      </c>
      <c r="I25" s="179">
        <v>200923.07692307694</v>
      </c>
      <c r="J25" s="180">
        <v>237333.33333333334</v>
      </c>
      <c r="K25" s="178">
        <f t="shared" si="9"/>
        <v>45093.333333333343</v>
      </c>
      <c r="L25" s="179">
        <f t="shared" si="10"/>
        <v>282426.66666666669</v>
      </c>
      <c r="M25" s="175">
        <v>319350</v>
      </c>
      <c r="N25" s="182">
        <v>60676.5</v>
      </c>
      <c r="O25" s="179">
        <v>380026.5</v>
      </c>
      <c r="P25" s="181">
        <v>570000</v>
      </c>
      <c r="Q25" s="182">
        <v>108300</v>
      </c>
      <c r="R25" s="179">
        <v>678300</v>
      </c>
      <c r="S25" s="175">
        <v>315126.05042016809</v>
      </c>
      <c r="T25" s="182">
        <v>59873.94957983194</v>
      </c>
      <c r="U25" s="179">
        <v>375000</v>
      </c>
      <c r="V25" s="191">
        <v>243879.60006481095</v>
      </c>
      <c r="W25" s="182">
        <f t="shared" si="11"/>
        <v>46337.124012314081</v>
      </c>
      <c r="X25" s="179">
        <f t="shared" si="12"/>
        <v>290216.72407712502</v>
      </c>
      <c r="Y25" s="184"/>
      <c r="Z25" s="177">
        <f t="shared" si="13"/>
        <v>292655.52007777314</v>
      </c>
      <c r="AB25" s="179">
        <f>ROUND(AVERAGE(J25,M25,S25,V25),0)</f>
        <v>278922</v>
      </c>
      <c r="AC25" s="179">
        <f>ROUND(STDEVA(J25,M25,S25,V25),0)</f>
        <v>44357</v>
      </c>
      <c r="AD25" s="158">
        <f t="shared" si="4"/>
        <v>0.15903012311685705</v>
      </c>
      <c r="AE25" s="179">
        <f t="shared" si="5"/>
        <v>234565</v>
      </c>
      <c r="AF25" s="179">
        <f t="shared" si="6"/>
        <v>323279</v>
      </c>
      <c r="AH25" s="179" t="str">
        <f t="shared" si="14"/>
        <v/>
      </c>
      <c r="AI25" s="179" t="str">
        <f t="shared" si="15"/>
        <v/>
      </c>
      <c r="AJ25" s="179">
        <f t="shared" si="16"/>
        <v>237333.33333333334</v>
      </c>
      <c r="AK25" s="179">
        <f t="shared" si="17"/>
        <v>319350</v>
      </c>
      <c r="AL25" s="179" t="str">
        <f t="shared" si="18"/>
        <v/>
      </c>
      <c r="AM25" s="179">
        <f t="shared" si="19"/>
        <v>315126.05042016809</v>
      </c>
      <c r="AN25" s="179">
        <f t="shared" si="20"/>
        <v>243879.60006481095</v>
      </c>
      <c r="AO25" s="179">
        <f t="shared" si="21"/>
        <v>278922</v>
      </c>
      <c r="AQ25" s="186">
        <f t="shared" si="22"/>
        <v>278922</v>
      </c>
      <c r="AR25" s="186">
        <f t="shared" si="23"/>
        <v>52995</v>
      </c>
      <c r="AS25" s="186">
        <f t="shared" si="24"/>
        <v>331917</v>
      </c>
      <c r="AU25" s="191">
        <v>243879.60006481095</v>
      </c>
      <c r="AV25" s="182">
        <f t="shared" si="25"/>
        <v>46337.124012314081</v>
      </c>
      <c r="AW25" s="179">
        <f t="shared" si="26"/>
        <v>290216.72407712502</v>
      </c>
      <c r="AY25" s="158">
        <f t="shared" si="27"/>
        <v>0.14368729457435778</v>
      </c>
      <c r="AZ25" s="188" t="str">
        <f t="shared" si="28"/>
        <v>AUMENTO</v>
      </c>
      <c r="BA25" s="159"/>
      <c r="BC25" s="177">
        <v>292655.52007777314</v>
      </c>
      <c r="BE25" s="189">
        <f t="shared" si="29"/>
        <v>55784</v>
      </c>
      <c r="BF25" s="190">
        <f t="shared" si="30"/>
        <v>334706</v>
      </c>
      <c r="BG25" s="190">
        <f t="shared" si="31"/>
        <v>334706</v>
      </c>
    </row>
    <row r="26" spans="1:59" s="166" customFormat="1" ht="12" x14ac:dyDescent="0.2">
      <c r="A26" s="172">
        <v>14</v>
      </c>
      <c r="B26" s="173" t="s">
        <v>126</v>
      </c>
      <c r="C26" s="174" t="s">
        <v>236</v>
      </c>
      <c r="D26" s="175">
        <f t="shared" si="7"/>
        <v>18907.563025210085</v>
      </c>
      <c r="E26" s="176">
        <f t="shared" si="8"/>
        <v>3592.4369747899163</v>
      </c>
      <c r="F26" s="177">
        <v>22500</v>
      </c>
      <c r="G26" s="175">
        <v>23141.564318034907</v>
      </c>
      <c r="H26" s="178">
        <v>4396.897220426632</v>
      </c>
      <c r="I26" s="179">
        <v>27538.461538461539</v>
      </c>
      <c r="J26" s="180">
        <v>22000</v>
      </c>
      <c r="K26" s="178">
        <f t="shared" si="9"/>
        <v>4180</v>
      </c>
      <c r="L26" s="179">
        <f t="shared" si="10"/>
        <v>26180</v>
      </c>
      <c r="M26" s="181">
        <v>54000</v>
      </c>
      <c r="N26" s="182">
        <v>10260</v>
      </c>
      <c r="O26" s="179">
        <v>64260</v>
      </c>
      <c r="P26" s="181">
        <v>30084</v>
      </c>
      <c r="Q26" s="182">
        <v>5715.96</v>
      </c>
      <c r="R26" s="179">
        <v>35799.96</v>
      </c>
      <c r="S26" s="181">
        <v>45126.050420168067</v>
      </c>
      <c r="T26" s="182">
        <v>8573.9495798319331</v>
      </c>
      <c r="U26" s="179">
        <v>53700</v>
      </c>
      <c r="V26" s="191">
        <v>19203.190542495056</v>
      </c>
      <c r="W26" s="182">
        <f t="shared" si="11"/>
        <v>3648.6062030740604</v>
      </c>
      <c r="X26" s="179">
        <f t="shared" si="12"/>
        <v>22851.796745569118</v>
      </c>
      <c r="Y26" s="184"/>
      <c r="Z26" s="177">
        <f t="shared" si="13"/>
        <v>23043.828650994066</v>
      </c>
      <c r="AB26" s="179">
        <f>ROUND(AVERAGE(D26,G26,J26,V26),0)</f>
        <v>20813</v>
      </c>
      <c r="AC26" s="179">
        <f>ROUND(STDEVA(D26,G26,J26,V26),0)</f>
        <v>2086</v>
      </c>
      <c r="AD26" s="158">
        <f t="shared" si="4"/>
        <v>0.1002258204007111</v>
      </c>
      <c r="AE26" s="179">
        <f t="shared" si="5"/>
        <v>18727</v>
      </c>
      <c r="AF26" s="179">
        <f t="shared" si="6"/>
        <v>22899</v>
      </c>
      <c r="AH26" s="179">
        <f t="shared" si="14"/>
        <v>18907.563025210085</v>
      </c>
      <c r="AI26" s="179" t="str">
        <f t="shared" si="15"/>
        <v/>
      </c>
      <c r="AJ26" s="179">
        <f t="shared" si="16"/>
        <v>22000</v>
      </c>
      <c r="AK26" s="179" t="str">
        <f t="shared" si="17"/>
        <v/>
      </c>
      <c r="AL26" s="179" t="str">
        <f t="shared" si="18"/>
        <v/>
      </c>
      <c r="AM26" s="179" t="str">
        <f t="shared" si="19"/>
        <v/>
      </c>
      <c r="AN26" s="179">
        <f t="shared" si="20"/>
        <v>19203.190542495056</v>
      </c>
      <c r="AO26" s="179">
        <f t="shared" si="21"/>
        <v>20037</v>
      </c>
      <c r="AQ26" s="186">
        <f t="shared" si="22"/>
        <v>20037</v>
      </c>
      <c r="AR26" s="186">
        <f t="shared" si="23"/>
        <v>3807</v>
      </c>
      <c r="AS26" s="186">
        <f t="shared" si="24"/>
        <v>23844</v>
      </c>
      <c r="AU26" s="191">
        <v>19203.190542495056</v>
      </c>
      <c r="AV26" s="182">
        <f t="shared" si="25"/>
        <v>3648.6062030740604</v>
      </c>
      <c r="AW26" s="179">
        <f t="shared" si="26"/>
        <v>22851.796745569118</v>
      </c>
      <c r="AY26" s="158">
        <f t="shared" si="27"/>
        <v>4.3420360572884641E-2</v>
      </c>
      <c r="AZ26" s="188" t="str">
        <f t="shared" si="28"/>
        <v>AUMENTO</v>
      </c>
      <c r="BA26" s="159"/>
      <c r="BC26" s="177">
        <v>23043.828650994066</v>
      </c>
      <c r="BE26" s="189">
        <f t="shared" si="29"/>
        <v>4007</v>
      </c>
      <c r="BF26" s="190">
        <f t="shared" si="30"/>
        <v>24044</v>
      </c>
      <c r="BG26" s="190">
        <f t="shared" si="31"/>
        <v>24044</v>
      </c>
    </row>
    <row r="27" spans="1:59" s="166" customFormat="1" ht="12" x14ac:dyDescent="0.2">
      <c r="A27" s="172">
        <v>15</v>
      </c>
      <c r="B27" s="173" t="s">
        <v>127</v>
      </c>
      <c r="C27" s="174" t="s">
        <v>3</v>
      </c>
      <c r="D27" s="175">
        <f t="shared" si="7"/>
        <v>157563.02521008404</v>
      </c>
      <c r="E27" s="176">
        <f t="shared" si="8"/>
        <v>29936.97478991597</v>
      </c>
      <c r="F27" s="177">
        <v>187500</v>
      </c>
      <c r="G27" s="175">
        <v>169230.76923076922</v>
      </c>
      <c r="H27" s="178">
        <v>32153.846153846152</v>
      </c>
      <c r="I27" s="179">
        <v>201384.61538461538</v>
      </c>
      <c r="J27" s="180">
        <v>145333.33333333334</v>
      </c>
      <c r="K27" s="178">
        <f t="shared" si="9"/>
        <v>27613.333333333336</v>
      </c>
      <c r="L27" s="179">
        <f t="shared" si="10"/>
        <v>172946.66666666669</v>
      </c>
      <c r="M27" s="200">
        <v>389700</v>
      </c>
      <c r="N27" s="182">
        <v>74043</v>
      </c>
      <c r="O27" s="179">
        <v>463743</v>
      </c>
      <c r="P27" s="200">
        <v>218319</v>
      </c>
      <c r="Q27" s="182">
        <v>41480.61</v>
      </c>
      <c r="R27" s="179">
        <v>259799.61</v>
      </c>
      <c r="S27" s="200">
        <v>327478.99159663869</v>
      </c>
      <c r="T27" s="182">
        <v>62221.008403361353</v>
      </c>
      <c r="U27" s="179">
        <v>389700.00000000006</v>
      </c>
      <c r="V27" s="199">
        <v>67267.577278374505</v>
      </c>
      <c r="W27" s="182">
        <f t="shared" si="11"/>
        <v>12780.839682891157</v>
      </c>
      <c r="X27" s="179">
        <f t="shared" si="12"/>
        <v>80048.41696126567</v>
      </c>
      <c r="Y27" s="184"/>
      <c r="Z27" s="177">
        <f t="shared" si="13"/>
        <v>80721.092734049409</v>
      </c>
      <c r="AB27" s="179">
        <f>ROUND(AVERAGE(D27,G27,J27),0)</f>
        <v>157376</v>
      </c>
      <c r="AC27" s="179">
        <f>ROUND(STDEVA(D27,G27,J27),0)</f>
        <v>11950</v>
      </c>
      <c r="AD27" s="158">
        <f t="shared" si="4"/>
        <v>7.5932797885319231E-2</v>
      </c>
      <c r="AE27" s="179">
        <f t="shared" si="5"/>
        <v>145426</v>
      </c>
      <c r="AF27" s="179">
        <f t="shared" si="6"/>
        <v>169326</v>
      </c>
      <c r="AH27" s="179">
        <f t="shared" si="14"/>
        <v>157563.02521008404</v>
      </c>
      <c r="AI27" s="179">
        <f t="shared" si="15"/>
        <v>169230.76923076922</v>
      </c>
      <c r="AJ27" s="179" t="str">
        <f t="shared" si="16"/>
        <v/>
      </c>
      <c r="AK27" s="179" t="str">
        <f t="shared" si="17"/>
        <v/>
      </c>
      <c r="AL27" s="179" t="str">
        <f t="shared" si="18"/>
        <v/>
      </c>
      <c r="AM27" s="179" t="str">
        <f t="shared" si="19"/>
        <v/>
      </c>
      <c r="AN27" s="179" t="str">
        <f t="shared" si="20"/>
        <v/>
      </c>
      <c r="AO27" s="179">
        <f t="shared" si="21"/>
        <v>163397</v>
      </c>
      <c r="AQ27" s="186">
        <f t="shared" si="22"/>
        <v>163397</v>
      </c>
      <c r="AR27" s="186">
        <f t="shared" si="23"/>
        <v>31045</v>
      </c>
      <c r="AS27" s="186">
        <f t="shared" si="24"/>
        <v>194442</v>
      </c>
      <c r="AU27" s="191">
        <v>67267.577278374505</v>
      </c>
      <c r="AV27" s="182">
        <f t="shared" si="25"/>
        <v>12780.839682891157</v>
      </c>
      <c r="AW27" s="179">
        <f t="shared" si="26"/>
        <v>80048.41696126567</v>
      </c>
      <c r="AY27" s="158">
        <f t="shared" si="27"/>
        <v>1.4290602785322792</v>
      </c>
      <c r="AZ27" s="188" t="str">
        <f t="shared" si="28"/>
        <v>AUMENTO</v>
      </c>
      <c r="BA27" s="159"/>
      <c r="BC27" s="177">
        <v>80721.092734049409</v>
      </c>
      <c r="BE27" s="189">
        <f t="shared" si="29"/>
        <v>32679</v>
      </c>
      <c r="BF27" s="190">
        <f t="shared" si="30"/>
        <v>196076</v>
      </c>
      <c r="BG27" s="190">
        <f t="shared" si="31"/>
        <v>196076</v>
      </c>
    </row>
    <row r="28" spans="1:59" s="166" customFormat="1" ht="24" x14ac:dyDescent="0.2">
      <c r="A28" s="172">
        <v>16</v>
      </c>
      <c r="B28" s="173" t="s">
        <v>128</v>
      </c>
      <c r="C28" s="174" t="s">
        <v>3</v>
      </c>
      <c r="D28" s="175">
        <f t="shared" si="7"/>
        <v>185924.36974789918</v>
      </c>
      <c r="E28" s="176">
        <f t="shared" si="8"/>
        <v>35325.630252100847</v>
      </c>
      <c r="F28" s="177">
        <v>221250</v>
      </c>
      <c r="G28" s="175">
        <v>196380.09049773758</v>
      </c>
      <c r="H28" s="178">
        <v>37312.217194570141</v>
      </c>
      <c r="I28" s="179">
        <v>233692.30769230772</v>
      </c>
      <c r="J28" s="192">
        <v>158400</v>
      </c>
      <c r="K28" s="197">
        <f t="shared" si="9"/>
        <v>30096</v>
      </c>
      <c r="L28" s="181">
        <f t="shared" si="10"/>
        <v>188496</v>
      </c>
      <c r="M28" s="181">
        <v>443700</v>
      </c>
      <c r="N28" s="198">
        <v>84303</v>
      </c>
      <c r="O28" s="181">
        <v>528003</v>
      </c>
      <c r="P28" s="181">
        <v>248571</v>
      </c>
      <c r="Q28" s="198">
        <v>47228.49</v>
      </c>
      <c r="R28" s="181">
        <v>295799.49</v>
      </c>
      <c r="S28" s="181">
        <v>372857.1428571429</v>
      </c>
      <c r="T28" s="182">
        <v>70842.857142857145</v>
      </c>
      <c r="U28" s="179">
        <v>443700.00000000006</v>
      </c>
      <c r="V28" s="191">
        <v>171441.19786261499</v>
      </c>
      <c r="W28" s="182">
        <f t="shared" si="11"/>
        <v>32573.827593896851</v>
      </c>
      <c r="X28" s="179">
        <f t="shared" si="12"/>
        <v>204015.02545651185</v>
      </c>
      <c r="Y28" s="184"/>
      <c r="Z28" s="177">
        <f t="shared" si="13"/>
        <v>205729.43743513798</v>
      </c>
      <c r="AB28" s="179">
        <f>ROUND(AVERAGE(D28,G28,V28),0)</f>
        <v>184582</v>
      </c>
      <c r="AC28" s="179">
        <f>ROUND(STDEVA(D28,G28,V28),0)</f>
        <v>12524</v>
      </c>
      <c r="AD28" s="158">
        <f t="shared" si="4"/>
        <v>6.785060298403961E-2</v>
      </c>
      <c r="AE28" s="179">
        <f t="shared" si="5"/>
        <v>172058</v>
      </c>
      <c r="AF28" s="179">
        <f t="shared" si="6"/>
        <v>197106</v>
      </c>
      <c r="AH28" s="179">
        <f t="shared" si="14"/>
        <v>185924.36974789918</v>
      </c>
      <c r="AI28" s="179">
        <f t="shared" si="15"/>
        <v>196380.09049773758</v>
      </c>
      <c r="AJ28" s="179" t="str">
        <f t="shared" si="16"/>
        <v/>
      </c>
      <c r="AK28" s="179" t="str">
        <f t="shared" si="17"/>
        <v/>
      </c>
      <c r="AL28" s="179" t="str">
        <f t="shared" si="18"/>
        <v/>
      </c>
      <c r="AM28" s="179" t="str">
        <f t="shared" si="19"/>
        <v/>
      </c>
      <c r="AN28" s="179" t="str">
        <f t="shared" si="20"/>
        <v/>
      </c>
      <c r="AO28" s="179">
        <f t="shared" si="21"/>
        <v>191152</v>
      </c>
      <c r="AQ28" s="186">
        <f t="shared" si="22"/>
        <v>191152</v>
      </c>
      <c r="AR28" s="186">
        <f t="shared" si="23"/>
        <v>36319</v>
      </c>
      <c r="AS28" s="186">
        <f t="shared" si="24"/>
        <v>227471</v>
      </c>
      <c r="AU28" s="191">
        <v>171441.19786261499</v>
      </c>
      <c r="AV28" s="182">
        <f t="shared" si="25"/>
        <v>32573.827593896851</v>
      </c>
      <c r="AW28" s="179">
        <f t="shared" si="26"/>
        <v>204015.02545651185</v>
      </c>
      <c r="AY28" s="158">
        <f t="shared" si="27"/>
        <v>0.11497121102233739</v>
      </c>
      <c r="AZ28" s="188" t="str">
        <f t="shared" si="28"/>
        <v>AUMENTO</v>
      </c>
      <c r="BA28" s="159"/>
      <c r="BC28" s="177">
        <v>205729.43743513798</v>
      </c>
      <c r="BE28" s="189">
        <f t="shared" si="29"/>
        <v>38230</v>
      </c>
      <c r="BF28" s="190">
        <f t="shared" si="30"/>
        <v>229382</v>
      </c>
      <c r="BG28" s="190">
        <f t="shared" si="31"/>
        <v>229382</v>
      </c>
    </row>
    <row r="29" spans="1:59" s="166" customFormat="1" ht="12" x14ac:dyDescent="0.2">
      <c r="A29" s="172">
        <v>17</v>
      </c>
      <c r="B29" s="173" t="s">
        <v>129</v>
      </c>
      <c r="C29" s="174" t="s">
        <v>3</v>
      </c>
      <c r="D29" s="175">
        <f t="shared" si="7"/>
        <v>9831.9327731092435</v>
      </c>
      <c r="E29" s="176">
        <f t="shared" si="8"/>
        <v>1868.0672268907563</v>
      </c>
      <c r="F29" s="177">
        <v>11700</v>
      </c>
      <c r="G29" s="175">
        <v>10213.316095669037</v>
      </c>
      <c r="H29" s="178">
        <v>1940.5300581771171</v>
      </c>
      <c r="I29" s="179">
        <v>12153.846153846154</v>
      </c>
      <c r="J29" s="180">
        <v>10133.333333333334</v>
      </c>
      <c r="K29" s="178">
        <f t="shared" si="9"/>
        <v>1925.3333333333335</v>
      </c>
      <c r="L29" s="179">
        <f t="shared" si="10"/>
        <v>12058.666666666668</v>
      </c>
      <c r="M29" s="181">
        <v>23400</v>
      </c>
      <c r="N29" s="182">
        <v>4446</v>
      </c>
      <c r="O29" s="179">
        <v>27846</v>
      </c>
      <c r="P29" s="181">
        <v>13109</v>
      </c>
      <c r="Q29" s="182">
        <v>2490.71</v>
      </c>
      <c r="R29" s="179">
        <v>15599.71</v>
      </c>
      <c r="S29" s="181">
        <v>19663.865546218487</v>
      </c>
      <c r="T29" s="182">
        <v>3736.1344537815125</v>
      </c>
      <c r="U29" s="179">
        <v>23400</v>
      </c>
      <c r="V29" s="191">
        <v>11022.329933935936</v>
      </c>
      <c r="W29" s="182">
        <f t="shared" si="11"/>
        <v>2094.2426874478278</v>
      </c>
      <c r="X29" s="179">
        <f t="shared" si="12"/>
        <v>13116.572621383764</v>
      </c>
      <c r="Y29" s="184"/>
      <c r="Z29" s="177">
        <f t="shared" si="13"/>
        <v>13226.795920723123</v>
      </c>
      <c r="AB29" s="179">
        <f>ROUND(AVERAGE(D29,G29,J29,V29),0)</f>
        <v>10300</v>
      </c>
      <c r="AC29" s="179">
        <f>ROUND(STDEVA(D29,G29,J29,V29),0)</f>
        <v>509</v>
      </c>
      <c r="AD29" s="158">
        <f t="shared" si="4"/>
        <v>4.9417475728155337E-2</v>
      </c>
      <c r="AE29" s="179">
        <f t="shared" si="5"/>
        <v>9791</v>
      </c>
      <c r="AF29" s="179">
        <f t="shared" si="6"/>
        <v>10809</v>
      </c>
      <c r="AH29" s="179">
        <f t="shared" si="14"/>
        <v>9831.9327731092435</v>
      </c>
      <c r="AI29" s="179">
        <f t="shared" si="15"/>
        <v>10213.316095669037</v>
      </c>
      <c r="AJ29" s="179">
        <f t="shared" si="16"/>
        <v>10133.333333333334</v>
      </c>
      <c r="AK29" s="179" t="str">
        <f t="shared" si="17"/>
        <v/>
      </c>
      <c r="AL29" s="179" t="str">
        <f t="shared" si="18"/>
        <v/>
      </c>
      <c r="AM29" s="179" t="str">
        <f t="shared" si="19"/>
        <v/>
      </c>
      <c r="AN29" s="179" t="str">
        <f t="shared" si="20"/>
        <v/>
      </c>
      <c r="AO29" s="179">
        <f t="shared" si="21"/>
        <v>10060</v>
      </c>
      <c r="AQ29" s="186">
        <f t="shared" si="22"/>
        <v>10060</v>
      </c>
      <c r="AR29" s="186">
        <f t="shared" si="23"/>
        <v>1911</v>
      </c>
      <c r="AS29" s="186">
        <f t="shared" si="24"/>
        <v>11971</v>
      </c>
      <c r="AU29" s="191">
        <v>11022.329933935936</v>
      </c>
      <c r="AV29" s="182">
        <f t="shared" si="25"/>
        <v>2094.2426874478278</v>
      </c>
      <c r="AW29" s="179">
        <f t="shared" si="26"/>
        <v>13116.572621383764</v>
      </c>
      <c r="AY29" s="158">
        <f t="shared" si="27"/>
        <v>-8.7307306141606339E-2</v>
      </c>
      <c r="AZ29" s="188" t="str">
        <f t="shared" si="28"/>
        <v>AUMENTO</v>
      </c>
      <c r="BA29" s="159"/>
      <c r="BC29" s="177">
        <v>13226.795920723123</v>
      </c>
      <c r="BE29" s="189">
        <f t="shared" si="29"/>
        <v>2012</v>
      </c>
      <c r="BF29" s="190">
        <f t="shared" si="30"/>
        <v>12072</v>
      </c>
      <c r="BG29" s="190">
        <f t="shared" si="31"/>
        <v>12072</v>
      </c>
    </row>
    <row r="30" spans="1:59" s="166" customFormat="1" ht="12" x14ac:dyDescent="0.2">
      <c r="A30" s="172">
        <v>18</v>
      </c>
      <c r="B30" s="173" t="s">
        <v>130</v>
      </c>
      <c r="C30" s="174" t="s">
        <v>3</v>
      </c>
      <c r="D30" s="175">
        <f t="shared" si="7"/>
        <v>12478.991596638656</v>
      </c>
      <c r="E30" s="176">
        <f t="shared" si="8"/>
        <v>2371.0084033613448</v>
      </c>
      <c r="F30" s="177">
        <v>14850</v>
      </c>
      <c r="G30" s="175">
        <v>14091.790562378799</v>
      </c>
      <c r="H30" s="178">
        <v>2677.4402068519721</v>
      </c>
      <c r="I30" s="179">
        <v>16769.230769230773</v>
      </c>
      <c r="J30" s="180">
        <v>12933.333333333334</v>
      </c>
      <c r="K30" s="178">
        <f t="shared" si="9"/>
        <v>2457.3333333333335</v>
      </c>
      <c r="L30" s="179">
        <f t="shared" si="10"/>
        <v>15390.666666666668</v>
      </c>
      <c r="M30" s="181">
        <v>29700</v>
      </c>
      <c r="N30" s="182">
        <v>5643</v>
      </c>
      <c r="O30" s="179">
        <v>35343</v>
      </c>
      <c r="P30" s="181">
        <v>16639</v>
      </c>
      <c r="Q30" s="182">
        <v>3161.41</v>
      </c>
      <c r="R30" s="179">
        <v>19800.41</v>
      </c>
      <c r="S30" s="181">
        <v>24957.983193277312</v>
      </c>
      <c r="T30" s="182">
        <v>4742.0168067226896</v>
      </c>
      <c r="U30" s="179">
        <v>29700</v>
      </c>
      <c r="V30" s="199">
        <v>23878.640850905747</v>
      </c>
      <c r="W30" s="182">
        <f t="shared" si="11"/>
        <v>4536.9417616720921</v>
      </c>
      <c r="X30" s="179">
        <f t="shared" si="12"/>
        <v>28415.58261257784</v>
      </c>
      <c r="Y30" s="184"/>
      <c r="Z30" s="177">
        <f t="shared" si="13"/>
        <v>28654.369021086895</v>
      </c>
      <c r="AB30" s="179">
        <f>ROUND(AVERAGE(D30,G30,J30),0)</f>
        <v>13168</v>
      </c>
      <c r="AC30" s="179">
        <f>ROUND(STDEVA(D30,G30,J30),0)</f>
        <v>832</v>
      </c>
      <c r="AD30" s="158">
        <f t="shared" si="4"/>
        <v>6.3183475091130009E-2</v>
      </c>
      <c r="AE30" s="179">
        <f t="shared" si="5"/>
        <v>12336</v>
      </c>
      <c r="AF30" s="179">
        <f t="shared" si="6"/>
        <v>14000</v>
      </c>
      <c r="AH30" s="179">
        <f t="shared" si="14"/>
        <v>12478.991596638656</v>
      </c>
      <c r="AI30" s="179" t="str">
        <f t="shared" si="15"/>
        <v/>
      </c>
      <c r="AJ30" s="179">
        <f t="shared" si="16"/>
        <v>12933.333333333334</v>
      </c>
      <c r="AK30" s="179" t="str">
        <f t="shared" si="17"/>
        <v/>
      </c>
      <c r="AL30" s="179" t="str">
        <f t="shared" si="18"/>
        <v/>
      </c>
      <c r="AM30" s="179" t="str">
        <f t="shared" si="19"/>
        <v/>
      </c>
      <c r="AN30" s="179" t="str">
        <f t="shared" si="20"/>
        <v/>
      </c>
      <c r="AO30" s="179">
        <f t="shared" si="21"/>
        <v>12706</v>
      </c>
      <c r="AQ30" s="186">
        <f t="shared" si="22"/>
        <v>12706</v>
      </c>
      <c r="AR30" s="186">
        <f t="shared" si="23"/>
        <v>2414</v>
      </c>
      <c r="AS30" s="186">
        <f t="shared" si="24"/>
        <v>15120</v>
      </c>
      <c r="AU30" s="191">
        <v>23878.640850905747</v>
      </c>
      <c r="AV30" s="182">
        <f t="shared" si="25"/>
        <v>4536.9417616720921</v>
      </c>
      <c r="AW30" s="179">
        <f t="shared" si="26"/>
        <v>28415.58261257784</v>
      </c>
      <c r="AY30" s="158">
        <f t="shared" si="27"/>
        <v>-0.46789266276359087</v>
      </c>
      <c r="AZ30" s="188" t="str">
        <f t="shared" si="28"/>
        <v>AUMENTO</v>
      </c>
      <c r="BA30" s="159"/>
      <c r="BC30" s="177">
        <v>28654.369021086895</v>
      </c>
      <c r="BE30" s="189">
        <f t="shared" si="29"/>
        <v>2541</v>
      </c>
      <c r="BF30" s="190">
        <f t="shared" si="30"/>
        <v>15247</v>
      </c>
      <c r="BG30" s="190">
        <f t="shared" si="31"/>
        <v>15247</v>
      </c>
    </row>
    <row r="31" spans="1:59" s="166" customFormat="1" ht="12" x14ac:dyDescent="0.2">
      <c r="A31" s="172">
        <v>19</v>
      </c>
      <c r="B31" s="173" t="s">
        <v>131</v>
      </c>
      <c r="C31" s="174" t="s">
        <v>30</v>
      </c>
      <c r="D31" s="175">
        <f t="shared" si="7"/>
        <v>37689.075630252104</v>
      </c>
      <c r="E31" s="176">
        <f t="shared" si="8"/>
        <v>7160.9243697478996</v>
      </c>
      <c r="F31" s="177">
        <v>44850</v>
      </c>
      <c r="G31" s="175">
        <v>38655.462184873948</v>
      </c>
      <c r="H31" s="178">
        <v>7344.5378151260502</v>
      </c>
      <c r="I31" s="179">
        <v>46000</v>
      </c>
      <c r="J31" s="192">
        <v>24666.666666666668</v>
      </c>
      <c r="K31" s="178">
        <f t="shared" si="9"/>
        <v>4686.666666666667</v>
      </c>
      <c r="L31" s="179">
        <f t="shared" si="10"/>
        <v>29353.333333333336</v>
      </c>
      <c r="M31" s="181">
        <v>90000</v>
      </c>
      <c r="N31" s="182">
        <v>17100</v>
      </c>
      <c r="O31" s="179">
        <v>107100</v>
      </c>
      <c r="P31" s="175">
        <v>39800</v>
      </c>
      <c r="Q31" s="182">
        <v>7562</v>
      </c>
      <c r="R31" s="179">
        <v>47362</v>
      </c>
      <c r="S31" s="181">
        <v>7815.1260504201682</v>
      </c>
      <c r="T31" s="182">
        <v>1484.873949579832</v>
      </c>
      <c r="U31" s="179">
        <v>9300</v>
      </c>
      <c r="V31" s="191">
        <v>29681.050066523912</v>
      </c>
      <c r="W31" s="182">
        <f t="shared" si="11"/>
        <v>5639.399512639543</v>
      </c>
      <c r="X31" s="179">
        <f t="shared" si="12"/>
        <v>35320.449579163454</v>
      </c>
      <c r="Y31" s="184"/>
      <c r="Z31" s="177">
        <f t="shared" si="13"/>
        <v>35617.260079828695</v>
      </c>
      <c r="AB31" s="179">
        <f>ROUND(AVERAGE(D31,G31,P31),0)</f>
        <v>38715</v>
      </c>
      <c r="AC31" s="179">
        <f>ROUND(STDEVA(D31,G31,P31),0)</f>
        <v>1057</v>
      </c>
      <c r="AD31" s="158">
        <f t="shared" si="4"/>
        <v>2.7302079297429938E-2</v>
      </c>
      <c r="AE31" s="179">
        <f t="shared" si="5"/>
        <v>37658</v>
      </c>
      <c r="AF31" s="179">
        <f t="shared" si="6"/>
        <v>39772</v>
      </c>
      <c r="AH31" s="179">
        <f t="shared" si="14"/>
        <v>37689.075630252104</v>
      </c>
      <c r="AI31" s="179">
        <f t="shared" si="15"/>
        <v>38655.462184873948</v>
      </c>
      <c r="AJ31" s="179" t="str">
        <f t="shared" si="16"/>
        <v/>
      </c>
      <c r="AK31" s="179" t="str">
        <f t="shared" si="17"/>
        <v/>
      </c>
      <c r="AL31" s="179" t="str">
        <f t="shared" si="18"/>
        <v/>
      </c>
      <c r="AM31" s="179" t="str">
        <f t="shared" si="19"/>
        <v/>
      </c>
      <c r="AN31" s="179" t="str">
        <f t="shared" si="20"/>
        <v/>
      </c>
      <c r="AO31" s="179">
        <f t="shared" si="21"/>
        <v>38172</v>
      </c>
      <c r="AQ31" s="186">
        <f t="shared" si="22"/>
        <v>38172</v>
      </c>
      <c r="AR31" s="186">
        <f t="shared" si="23"/>
        <v>7253</v>
      </c>
      <c r="AS31" s="186">
        <f t="shared" si="24"/>
        <v>45425</v>
      </c>
      <c r="AU31" s="191">
        <v>29681.050066523912</v>
      </c>
      <c r="AV31" s="182">
        <f t="shared" si="25"/>
        <v>5639.399512639543</v>
      </c>
      <c r="AW31" s="179">
        <f t="shared" si="26"/>
        <v>35320.449579163454</v>
      </c>
      <c r="AY31" s="158">
        <f t="shared" si="27"/>
        <v>0.28607309763116151</v>
      </c>
      <c r="AZ31" s="188" t="str">
        <f t="shared" si="28"/>
        <v>AUMENTO</v>
      </c>
      <c r="BA31" s="159"/>
      <c r="BC31" s="177">
        <v>35617.260079828695</v>
      </c>
      <c r="BE31" s="189">
        <f t="shared" si="29"/>
        <v>7634</v>
      </c>
      <c r="BF31" s="190">
        <f t="shared" si="30"/>
        <v>45806</v>
      </c>
      <c r="BG31" s="190">
        <f t="shared" si="31"/>
        <v>45806</v>
      </c>
    </row>
    <row r="32" spans="1:59" s="166" customFormat="1" ht="12" x14ac:dyDescent="0.2">
      <c r="A32" s="172">
        <v>20</v>
      </c>
      <c r="B32" s="173" t="s">
        <v>100</v>
      </c>
      <c r="C32" s="174" t="s">
        <v>39</v>
      </c>
      <c r="D32" s="175">
        <f t="shared" si="7"/>
        <v>315.1260504201681</v>
      </c>
      <c r="E32" s="176">
        <f t="shared" si="8"/>
        <v>59.873949579831937</v>
      </c>
      <c r="F32" s="177">
        <v>375</v>
      </c>
      <c r="G32" s="175">
        <v>333.54880413703944</v>
      </c>
      <c r="H32" s="178">
        <v>63.374272786037494</v>
      </c>
      <c r="I32" s="179">
        <v>396.92307692307691</v>
      </c>
      <c r="J32" s="192">
        <v>2000</v>
      </c>
      <c r="K32" s="178">
        <f t="shared" si="9"/>
        <v>380</v>
      </c>
      <c r="L32" s="179">
        <f t="shared" si="10"/>
        <v>2380</v>
      </c>
      <c r="M32" s="181">
        <v>600</v>
      </c>
      <c r="N32" s="182">
        <v>114</v>
      </c>
      <c r="O32" s="179">
        <v>714</v>
      </c>
      <c r="P32" s="181">
        <v>54</v>
      </c>
      <c r="Q32" s="182">
        <v>10.26</v>
      </c>
      <c r="R32" s="179">
        <v>64.260000000000005</v>
      </c>
      <c r="S32" s="175">
        <v>491.59663865546219</v>
      </c>
      <c r="T32" s="182">
        <v>93.403361344537814</v>
      </c>
      <c r="U32" s="179">
        <v>585</v>
      </c>
      <c r="V32" s="199">
        <v>91.635836503309079</v>
      </c>
      <c r="W32" s="182">
        <f t="shared" si="11"/>
        <v>17.410808935628726</v>
      </c>
      <c r="X32" s="179">
        <f t="shared" si="12"/>
        <v>109.0466454389378</v>
      </c>
      <c r="Y32" s="184"/>
      <c r="Z32" s="177">
        <f t="shared" si="13"/>
        <v>109.96300380397089</v>
      </c>
      <c r="AB32" s="179">
        <f>ROUND(AVERAGE(D32,G32,S32),0)</f>
        <v>380</v>
      </c>
      <c r="AC32" s="179">
        <f>ROUND(STDEVA(D32,G32,S32),0)</f>
        <v>97</v>
      </c>
      <c r="AD32" s="158">
        <f t="shared" si="4"/>
        <v>0.25526315789473686</v>
      </c>
      <c r="AE32" s="179">
        <f t="shared" si="5"/>
        <v>283</v>
      </c>
      <c r="AF32" s="179">
        <f t="shared" si="6"/>
        <v>477</v>
      </c>
      <c r="AH32" s="179">
        <f t="shared" si="14"/>
        <v>315.1260504201681</v>
      </c>
      <c r="AI32" s="179">
        <f t="shared" si="15"/>
        <v>333.54880413703944</v>
      </c>
      <c r="AJ32" s="179" t="str">
        <f t="shared" si="16"/>
        <v/>
      </c>
      <c r="AK32" s="179" t="str">
        <f t="shared" si="17"/>
        <v/>
      </c>
      <c r="AL32" s="179" t="str">
        <f t="shared" si="18"/>
        <v/>
      </c>
      <c r="AM32" s="179" t="str">
        <f t="shared" si="19"/>
        <v/>
      </c>
      <c r="AN32" s="179" t="str">
        <f t="shared" si="20"/>
        <v/>
      </c>
      <c r="AO32" s="179">
        <f t="shared" si="21"/>
        <v>324</v>
      </c>
      <c r="AQ32" s="186">
        <f t="shared" si="22"/>
        <v>324</v>
      </c>
      <c r="AR32" s="186">
        <f t="shared" si="23"/>
        <v>62</v>
      </c>
      <c r="AS32" s="186">
        <f t="shared" si="24"/>
        <v>386</v>
      </c>
      <c r="AU32" s="191">
        <v>91.635836503309079</v>
      </c>
      <c r="AV32" s="182">
        <f t="shared" si="25"/>
        <v>17.410808935628726</v>
      </c>
      <c r="AW32" s="179">
        <f t="shared" si="26"/>
        <v>109.0466454389378</v>
      </c>
      <c r="AY32" s="158">
        <f t="shared" si="27"/>
        <v>2.5357346248298831</v>
      </c>
      <c r="AZ32" s="188" t="str">
        <f t="shared" si="28"/>
        <v>AUMENTO</v>
      </c>
      <c r="BA32" s="159"/>
      <c r="BC32" s="177">
        <v>109.96300380397089</v>
      </c>
      <c r="BE32" s="189">
        <f t="shared" si="29"/>
        <v>65</v>
      </c>
      <c r="BF32" s="190">
        <f t="shared" si="30"/>
        <v>389</v>
      </c>
      <c r="BG32" s="190">
        <f t="shared" si="31"/>
        <v>389</v>
      </c>
    </row>
    <row r="33" spans="1:59" s="166" customFormat="1" ht="12" x14ac:dyDescent="0.2">
      <c r="A33" s="172">
        <v>21</v>
      </c>
      <c r="B33" s="173" t="s">
        <v>132</v>
      </c>
      <c r="C33" s="174" t="s">
        <v>3</v>
      </c>
      <c r="D33" s="200">
        <f t="shared" si="7"/>
        <v>308823.5294117647</v>
      </c>
      <c r="E33" s="176">
        <f t="shared" si="8"/>
        <v>58676.470588235294</v>
      </c>
      <c r="F33" s="177">
        <v>367500</v>
      </c>
      <c r="G33" s="175">
        <v>96832.579185520357</v>
      </c>
      <c r="H33" s="178">
        <v>18398.190045248866</v>
      </c>
      <c r="I33" s="179">
        <v>115230.76923076922</v>
      </c>
      <c r="J33" s="180">
        <v>86666.666666666672</v>
      </c>
      <c r="K33" s="178">
        <f t="shared" si="9"/>
        <v>16466.666666666668</v>
      </c>
      <c r="L33" s="179">
        <f t="shared" si="10"/>
        <v>103133.33333333334</v>
      </c>
      <c r="M33" s="200">
        <v>222000</v>
      </c>
      <c r="N33" s="201">
        <v>42180</v>
      </c>
      <c r="O33" s="200">
        <v>264180</v>
      </c>
      <c r="P33" s="200">
        <v>124202</v>
      </c>
      <c r="Q33" s="201">
        <v>23598.38</v>
      </c>
      <c r="R33" s="200">
        <v>147800.38</v>
      </c>
      <c r="S33" s="200">
        <v>186302.52100840336</v>
      </c>
      <c r="T33" s="182">
        <v>35397.478991596639</v>
      </c>
      <c r="U33" s="179">
        <v>221700</v>
      </c>
      <c r="V33" s="191">
        <v>92779.411591022144</v>
      </c>
      <c r="W33" s="182">
        <f t="shared" si="11"/>
        <v>17628.088202294206</v>
      </c>
      <c r="X33" s="179">
        <f t="shared" si="12"/>
        <v>110407.49979331635</v>
      </c>
      <c r="Y33" s="184"/>
      <c r="Z33" s="177">
        <f t="shared" si="13"/>
        <v>111335.29390922657</v>
      </c>
      <c r="AB33" s="179">
        <f>ROUND(AVERAGE(G33,J33,V33),0)</f>
        <v>92093</v>
      </c>
      <c r="AC33" s="179">
        <f>ROUND(STDEVA(G33,J33,V33),0)</f>
        <v>5118</v>
      </c>
      <c r="AD33" s="158">
        <f t="shared" si="4"/>
        <v>5.5574256458145573E-2</v>
      </c>
      <c r="AE33" s="179">
        <f t="shared" si="5"/>
        <v>86975</v>
      </c>
      <c r="AF33" s="179">
        <f t="shared" si="6"/>
        <v>97211</v>
      </c>
      <c r="AH33" s="179" t="str">
        <f t="shared" si="14"/>
        <v/>
      </c>
      <c r="AI33" s="179">
        <f t="shared" si="15"/>
        <v>96832.579185520357</v>
      </c>
      <c r="AJ33" s="179" t="str">
        <f t="shared" si="16"/>
        <v/>
      </c>
      <c r="AK33" s="179" t="str">
        <f t="shared" si="17"/>
        <v/>
      </c>
      <c r="AL33" s="179" t="str">
        <f t="shared" si="18"/>
        <v/>
      </c>
      <c r="AM33" s="179" t="str">
        <f t="shared" si="19"/>
        <v/>
      </c>
      <c r="AN33" s="179">
        <f t="shared" si="20"/>
        <v>92779.411591022144</v>
      </c>
      <c r="AO33" s="179">
        <f t="shared" si="21"/>
        <v>94806</v>
      </c>
      <c r="AQ33" s="186">
        <f t="shared" si="22"/>
        <v>94806</v>
      </c>
      <c r="AR33" s="186">
        <f t="shared" si="23"/>
        <v>18013</v>
      </c>
      <c r="AS33" s="186">
        <f t="shared" si="24"/>
        <v>112819</v>
      </c>
      <c r="AU33" s="191">
        <v>92779.411591022144</v>
      </c>
      <c r="AV33" s="182">
        <f t="shared" si="25"/>
        <v>17628.088202294206</v>
      </c>
      <c r="AW33" s="179">
        <f t="shared" si="26"/>
        <v>110407.49979331635</v>
      </c>
      <c r="AY33" s="158">
        <f t="shared" si="27"/>
        <v>2.1843083225308573E-2</v>
      </c>
      <c r="AZ33" s="188" t="str">
        <f t="shared" si="28"/>
        <v>AUMENTO</v>
      </c>
      <c r="BA33" s="159"/>
      <c r="BC33" s="177">
        <v>111335.29390922657</v>
      </c>
      <c r="BE33" s="189">
        <f t="shared" si="29"/>
        <v>18961</v>
      </c>
      <c r="BF33" s="190">
        <f t="shared" si="30"/>
        <v>113767</v>
      </c>
      <c r="BG33" s="190">
        <f t="shared" si="31"/>
        <v>113767</v>
      </c>
    </row>
    <row r="34" spans="1:59" s="166" customFormat="1" ht="12" x14ac:dyDescent="0.2">
      <c r="A34" s="172">
        <v>22</v>
      </c>
      <c r="B34" s="173" t="s">
        <v>133</v>
      </c>
      <c r="C34" s="174" t="s">
        <v>3</v>
      </c>
      <c r="D34" s="175">
        <f t="shared" si="7"/>
        <v>143067.22689075631</v>
      </c>
      <c r="E34" s="176">
        <f t="shared" si="8"/>
        <v>27182.773109243699</v>
      </c>
      <c r="F34" s="177">
        <v>170250</v>
      </c>
      <c r="G34" s="175">
        <v>149838.39689722043</v>
      </c>
      <c r="H34" s="178">
        <v>28469.295410471881</v>
      </c>
      <c r="I34" s="179">
        <v>178307.69230769231</v>
      </c>
      <c r="J34" s="180">
        <v>134666.66666666666</v>
      </c>
      <c r="K34" s="178">
        <f t="shared" si="9"/>
        <v>25586.666666666664</v>
      </c>
      <c r="L34" s="179">
        <f t="shared" si="10"/>
        <v>160253.33333333331</v>
      </c>
      <c r="M34" s="181">
        <v>345000</v>
      </c>
      <c r="N34" s="198">
        <v>65550</v>
      </c>
      <c r="O34" s="181">
        <v>410550</v>
      </c>
      <c r="P34" s="181">
        <v>193109</v>
      </c>
      <c r="Q34" s="198">
        <v>36690.71</v>
      </c>
      <c r="R34" s="181">
        <v>229799.71</v>
      </c>
      <c r="S34" s="181">
        <v>289663.86554621853</v>
      </c>
      <c r="T34" s="198">
        <v>55036.134453781524</v>
      </c>
      <c r="U34" s="181">
        <v>344700.00000000006</v>
      </c>
      <c r="V34" s="199">
        <v>210312.04574819963</v>
      </c>
      <c r="W34" s="182">
        <f t="shared" si="11"/>
        <v>39959.288692157927</v>
      </c>
      <c r="X34" s="179">
        <f t="shared" si="12"/>
        <v>250271.33444035755</v>
      </c>
      <c r="Y34" s="184"/>
      <c r="Z34" s="177">
        <f t="shared" si="13"/>
        <v>252374.45489783955</v>
      </c>
      <c r="AB34" s="179">
        <f>ROUND(AVERAGE(D34,G34,J34),0)</f>
        <v>142524</v>
      </c>
      <c r="AC34" s="179">
        <f>ROUND(STDEVA(D34,G34,J34),0)</f>
        <v>7600</v>
      </c>
      <c r="AD34" s="158">
        <f t="shared" si="4"/>
        <v>5.3324352389772949E-2</v>
      </c>
      <c r="AE34" s="179">
        <f t="shared" si="5"/>
        <v>134924</v>
      </c>
      <c r="AF34" s="179">
        <f t="shared" si="6"/>
        <v>150124</v>
      </c>
      <c r="AH34" s="179">
        <f t="shared" si="14"/>
        <v>143067.22689075631</v>
      </c>
      <c r="AI34" s="179">
        <f t="shared" si="15"/>
        <v>149838.39689722043</v>
      </c>
      <c r="AJ34" s="179" t="str">
        <f t="shared" si="16"/>
        <v/>
      </c>
      <c r="AK34" s="179" t="str">
        <f t="shared" si="17"/>
        <v/>
      </c>
      <c r="AL34" s="179" t="str">
        <f t="shared" si="18"/>
        <v/>
      </c>
      <c r="AM34" s="179" t="str">
        <f t="shared" si="19"/>
        <v/>
      </c>
      <c r="AN34" s="179" t="str">
        <f t="shared" si="20"/>
        <v/>
      </c>
      <c r="AO34" s="179">
        <f t="shared" si="21"/>
        <v>146453</v>
      </c>
      <c r="AQ34" s="186">
        <f t="shared" si="22"/>
        <v>146453</v>
      </c>
      <c r="AR34" s="186">
        <f t="shared" si="23"/>
        <v>27826</v>
      </c>
      <c r="AS34" s="186">
        <f t="shared" si="24"/>
        <v>174279</v>
      </c>
      <c r="AU34" s="191">
        <v>210312.04574819963</v>
      </c>
      <c r="AV34" s="182">
        <f t="shared" si="25"/>
        <v>39959.288692157927</v>
      </c>
      <c r="AW34" s="179">
        <f t="shared" si="26"/>
        <v>250271.33444035755</v>
      </c>
      <c r="AY34" s="158">
        <f t="shared" si="27"/>
        <v>-0.30363950633933812</v>
      </c>
      <c r="AZ34" s="188" t="str">
        <f t="shared" si="28"/>
        <v>AUMENTO</v>
      </c>
      <c r="BA34" s="159"/>
      <c r="BC34" s="177">
        <v>252374.45489783955</v>
      </c>
      <c r="BE34" s="189">
        <f t="shared" si="29"/>
        <v>29291</v>
      </c>
      <c r="BF34" s="190">
        <f t="shared" si="30"/>
        <v>175744</v>
      </c>
      <c r="BG34" s="190">
        <f t="shared" si="31"/>
        <v>175744</v>
      </c>
    </row>
    <row r="35" spans="1:59" s="166" customFormat="1" ht="12" x14ac:dyDescent="0.2">
      <c r="A35" s="172">
        <v>23</v>
      </c>
      <c r="B35" s="173" t="s">
        <v>134</v>
      </c>
      <c r="C35" s="174" t="s">
        <v>3</v>
      </c>
      <c r="D35" s="175">
        <f t="shared" si="7"/>
        <v>17521.008403361346</v>
      </c>
      <c r="E35" s="176">
        <f t="shared" si="8"/>
        <v>3328.9915966386557</v>
      </c>
      <c r="F35" s="177">
        <v>20850</v>
      </c>
      <c r="G35" s="181">
        <v>20555.914673561732</v>
      </c>
      <c r="H35" s="178">
        <v>3905.6237879767291</v>
      </c>
      <c r="I35" s="179">
        <v>24461.538461538461</v>
      </c>
      <c r="J35" s="180">
        <v>17600</v>
      </c>
      <c r="K35" s="178">
        <f t="shared" si="9"/>
        <v>3344</v>
      </c>
      <c r="L35" s="179">
        <f t="shared" si="10"/>
        <v>20944</v>
      </c>
      <c r="M35" s="181">
        <v>48000</v>
      </c>
      <c r="N35" s="182">
        <v>9120</v>
      </c>
      <c r="O35" s="179">
        <v>57120</v>
      </c>
      <c r="P35" s="175">
        <v>26723</v>
      </c>
      <c r="Q35" s="182">
        <v>5077.37</v>
      </c>
      <c r="R35" s="179">
        <v>31800.37</v>
      </c>
      <c r="S35" s="181">
        <v>35042.016806722691</v>
      </c>
      <c r="T35" s="182">
        <v>6657.9831932773113</v>
      </c>
      <c r="U35" s="179">
        <v>41700</v>
      </c>
      <c r="V35" s="191">
        <v>18019.692964864866</v>
      </c>
      <c r="W35" s="182">
        <f t="shared" si="11"/>
        <v>3423.7416633243242</v>
      </c>
      <c r="X35" s="179">
        <f t="shared" si="12"/>
        <v>21443.434628189189</v>
      </c>
      <c r="Y35" s="184"/>
      <c r="Z35" s="177">
        <f t="shared" si="13"/>
        <v>21623.631557837838</v>
      </c>
      <c r="AB35" s="179">
        <f>ROUND(AVERAGE(D35,J35,V35),0)</f>
        <v>17714</v>
      </c>
      <c r="AC35" s="179">
        <f>ROUND(STDEVA(D35,J35,V35),0)</f>
        <v>268</v>
      </c>
      <c r="AD35" s="158">
        <f t="shared" si="4"/>
        <v>1.5129276278649656E-2</v>
      </c>
      <c r="AE35" s="179">
        <f t="shared" si="5"/>
        <v>17446</v>
      </c>
      <c r="AF35" s="179">
        <f t="shared" si="6"/>
        <v>17982</v>
      </c>
      <c r="AH35" s="179">
        <f t="shared" si="14"/>
        <v>17521.008403361346</v>
      </c>
      <c r="AI35" s="179" t="str">
        <f t="shared" si="15"/>
        <v/>
      </c>
      <c r="AJ35" s="179">
        <f t="shared" si="16"/>
        <v>17600</v>
      </c>
      <c r="AK35" s="179" t="str">
        <f t="shared" si="17"/>
        <v/>
      </c>
      <c r="AL35" s="179" t="str">
        <f t="shared" si="18"/>
        <v/>
      </c>
      <c r="AM35" s="179" t="str">
        <f t="shared" si="19"/>
        <v/>
      </c>
      <c r="AN35" s="179" t="str">
        <f t="shared" si="20"/>
        <v/>
      </c>
      <c r="AO35" s="179">
        <f t="shared" si="21"/>
        <v>17561</v>
      </c>
      <c r="AQ35" s="186">
        <f t="shared" si="22"/>
        <v>17561</v>
      </c>
      <c r="AR35" s="186">
        <f t="shared" si="23"/>
        <v>3337</v>
      </c>
      <c r="AS35" s="186">
        <f t="shared" si="24"/>
        <v>20898</v>
      </c>
      <c r="AU35" s="191">
        <v>18019.692964864866</v>
      </c>
      <c r="AV35" s="182">
        <f t="shared" si="25"/>
        <v>3423.7416633243242</v>
      </c>
      <c r="AW35" s="179">
        <f t="shared" si="26"/>
        <v>21443.434628189189</v>
      </c>
      <c r="AY35" s="158">
        <f t="shared" si="27"/>
        <v>-2.5455093255985758E-2</v>
      </c>
      <c r="AZ35" s="188" t="str">
        <f t="shared" si="28"/>
        <v>AUMENTO</v>
      </c>
      <c r="BA35" s="159"/>
      <c r="BC35" s="177">
        <v>21623.631557837838</v>
      </c>
      <c r="BE35" s="189">
        <f t="shared" si="29"/>
        <v>3512</v>
      </c>
      <c r="BF35" s="190">
        <f t="shared" si="30"/>
        <v>21073</v>
      </c>
      <c r="BG35" s="190">
        <f t="shared" si="31"/>
        <v>21073</v>
      </c>
    </row>
    <row r="36" spans="1:59" s="166" customFormat="1" ht="12" x14ac:dyDescent="0.2">
      <c r="A36" s="172">
        <v>24</v>
      </c>
      <c r="B36" s="173" t="s">
        <v>135</v>
      </c>
      <c r="C36" s="174" t="s">
        <v>3</v>
      </c>
      <c r="D36" s="175">
        <f t="shared" si="7"/>
        <v>40210.08403361345</v>
      </c>
      <c r="E36" s="176">
        <f t="shared" si="8"/>
        <v>7639.9159663865557</v>
      </c>
      <c r="F36" s="177">
        <v>47850</v>
      </c>
      <c r="G36" s="175">
        <v>50290.885585003234</v>
      </c>
      <c r="H36" s="178">
        <v>9555.2682611506152</v>
      </c>
      <c r="I36" s="179">
        <v>59846.153846153851</v>
      </c>
      <c r="J36" s="180">
        <v>38533.333333333336</v>
      </c>
      <c r="K36" s="178">
        <f t="shared" si="9"/>
        <v>7321.3333333333339</v>
      </c>
      <c r="L36" s="179">
        <f t="shared" si="10"/>
        <v>45854.666666666672</v>
      </c>
      <c r="M36" s="181">
        <v>120000</v>
      </c>
      <c r="N36" s="182">
        <v>22800</v>
      </c>
      <c r="O36" s="179">
        <v>142800</v>
      </c>
      <c r="P36" s="181">
        <v>65378</v>
      </c>
      <c r="Q36" s="182">
        <v>12421.82</v>
      </c>
      <c r="R36" s="179">
        <v>77799.820000000007</v>
      </c>
      <c r="S36" s="181">
        <v>80420.168067226899</v>
      </c>
      <c r="T36" s="182">
        <v>15279.831932773111</v>
      </c>
      <c r="U36" s="179">
        <v>95700.000000000015</v>
      </c>
      <c r="V36" s="191">
        <v>40874.905043287661</v>
      </c>
      <c r="W36" s="182">
        <f t="shared" si="11"/>
        <v>7766.2319582246555</v>
      </c>
      <c r="X36" s="179">
        <f t="shared" si="12"/>
        <v>48641.137001512318</v>
      </c>
      <c r="Y36" s="184"/>
      <c r="Z36" s="177">
        <f t="shared" si="13"/>
        <v>49049.886051945192</v>
      </c>
      <c r="AB36" s="179">
        <f>ROUND(AVERAGE(D36,J36,V36),0)</f>
        <v>39873</v>
      </c>
      <c r="AC36" s="179">
        <f>ROUND(STDEVA(D36,J36,V36),0)</f>
        <v>1207</v>
      </c>
      <c r="AD36" s="158">
        <f t="shared" si="4"/>
        <v>3.0271110776716074E-2</v>
      </c>
      <c r="AE36" s="179">
        <f t="shared" si="5"/>
        <v>38666</v>
      </c>
      <c r="AF36" s="179">
        <f t="shared" si="6"/>
        <v>41080</v>
      </c>
      <c r="AH36" s="179">
        <f t="shared" si="14"/>
        <v>40210.08403361345</v>
      </c>
      <c r="AI36" s="179" t="str">
        <f t="shared" si="15"/>
        <v/>
      </c>
      <c r="AJ36" s="179" t="str">
        <f t="shared" si="16"/>
        <v/>
      </c>
      <c r="AK36" s="179" t="str">
        <f t="shared" si="17"/>
        <v/>
      </c>
      <c r="AL36" s="179" t="str">
        <f t="shared" si="18"/>
        <v/>
      </c>
      <c r="AM36" s="179" t="str">
        <f t="shared" si="19"/>
        <v/>
      </c>
      <c r="AN36" s="179">
        <f t="shared" si="20"/>
        <v>40874.905043287661</v>
      </c>
      <c r="AO36" s="179">
        <f t="shared" si="21"/>
        <v>40542</v>
      </c>
      <c r="AQ36" s="186">
        <f t="shared" si="22"/>
        <v>40542</v>
      </c>
      <c r="AR36" s="186">
        <f t="shared" si="23"/>
        <v>7703</v>
      </c>
      <c r="AS36" s="186">
        <f t="shared" si="24"/>
        <v>48245</v>
      </c>
      <c r="AU36" s="191">
        <v>40874.905043287661</v>
      </c>
      <c r="AV36" s="182">
        <f t="shared" si="25"/>
        <v>7766.2319582246555</v>
      </c>
      <c r="AW36" s="179">
        <f t="shared" si="26"/>
        <v>48641.137001512318</v>
      </c>
      <c r="AY36" s="158">
        <f t="shared" si="27"/>
        <v>-8.1444848112822623E-3</v>
      </c>
      <c r="AZ36" s="188" t="str">
        <f t="shared" si="28"/>
        <v>AUMENTO</v>
      </c>
      <c r="BA36" s="159"/>
      <c r="BC36" s="177">
        <v>49049.886051945192</v>
      </c>
      <c r="BE36" s="189">
        <f t="shared" si="29"/>
        <v>8108</v>
      </c>
      <c r="BF36" s="190">
        <f t="shared" si="30"/>
        <v>48650</v>
      </c>
      <c r="BG36" s="190">
        <f t="shared" si="31"/>
        <v>48650</v>
      </c>
    </row>
    <row r="37" spans="1:59" s="166" customFormat="1" ht="12" x14ac:dyDescent="0.2">
      <c r="A37" s="172">
        <v>25</v>
      </c>
      <c r="B37" s="173" t="s">
        <v>31</v>
      </c>
      <c r="C37" s="174" t="s">
        <v>3</v>
      </c>
      <c r="D37" s="181">
        <f t="shared" si="7"/>
        <v>5757.9831932773113</v>
      </c>
      <c r="E37" s="176">
        <f t="shared" si="8"/>
        <v>1094.0168067226891</v>
      </c>
      <c r="F37" s="177">
        <v>6852</v>
      </c>
      <c r="G37" s="175">
        <v>9696.1861667744015</v>
      </c>
      <c r="H37" s="178">
        <v>1842.2753716871364</v>
      </c>
      <c r="I37" s="179">
        <v>11538.461538461537</v>
      </c>
      <c r="J37" s="180">
        <v>9733.3333333333339</v>
      </c>
      <c r="K37" s="178">
        <f t="shared" si="9"/>
        <v>1849.3333333333335</v>
      </c>
      <c r="L37" s="179">
        <f t="shared" si="10"/>
        <v>11582.666666666668</v>
      </c>
      <c r="M37" s="181">
        <v>23100</v>
      </c>
      <c r="N37" s="182">
        <v>4389</v>
      </c>
      <c r="O37" s="179">
        <v>27489</v>
      </c>
      <c r="P37" s="181">
        <v>12605</v>
      </c>
      <c r="Q37" s="182">
        <v>2394.9499999999998</v>
      </c>
      <c r="R37" s="179">
        <v>14999.95</v>
      </c>
      <c r="S37" s="181">
        <v>18907.563025210085</v>
      </c>
      <c r="T37" s="182">
        <v>3592.4369747899163</v>
      </c>
      <c r="U37" s="179">
        <v>22500</v>
      </c>
      <c r="V37" s="191">
        <v>6667.407691795599</v>
      </c>
      <c r="W37" s="182">
        <f t="shared" si="11"/>
        <v>1266.8074614411637</v>
      </c>
      <c r="X37" s="179">
        <f t="shared" si="12"/>
        <v>7934.2151532367625</v>
      </c>
      <c r="Y37" s="184"/>
      <c r="Z37" s="177">
        <f t="shared" si="13"/>
        <v>8000.8892301547185</v>
      </c>
      <c r="AB37" s="179">
        <f>ROUND(AVERAGE(G37,J37,V37),0)</f>
        <v>8699</v>
      </c>
      <c r="AC37" s="179">
        <f>ROUND(STDEVA(G37,J37,V37),0)</f>
        <v>1759</v>
      </c>
      <c r="AD37" s="158">
        <f t="shared" si="4"/>
        <v>0.20220715024715485</v>
      </c>
      <c r="AE37" s="179">
        <f t="shared" si="5"/>
        <v>6940</v>
      </c>
      <c r="AF37" s="179">
        <f t="shared" si="6"/>
        <v>10458</v>
      </c>
      <c r="AH37" s="179" t="str">
        <f t="shared" si="14"/>
        <v/>
      </c>
      <c r="AI37" s="179">
        <f t="shared" si="15"/>
        <v>9696.1861667744015</v>
      </c>
      <c r="AJ37" s="179">
        <f t="shared" si="16"/>
        <v>9733.3333333333339</v>
      </c>
      <c r="AK37" s="179" t="str">
        <f t="shared" si="17"/>
        <v/>
      </c>
      <c r="AL37" s="179" t="str">
        <f t="shared" si="18"/>
        <v/>
      </c>
      <c r="AM37" s="179" t="str">
        <f t="shared" si="19"/>
        <v/>
      </c>
      <c r="AN37" s="179" t="str">
        <f t="shared" si="20"/>
        <v/>
      </c>
      <c r="AO37" s="179">
        <f t="shared" si="21"/>
        <v>9715</v>
      </c>
      <c r="AQ37" s="186">
        <f t="shared" si="22"/>
        <v>9715</v>
      </c>
      <c r="AR37" s="186">
        <f t="shared" si="23"/>
        <v>1846</v>
      </c>
      <c r="AS37" s="186">
        <f t="shared" si="24"/>
        <v>11561</v>
      </c>
      <c r="AU37" s="191">
        <v>6667.407691795599</v>
      </c>
      <c r="AV37" s="182">
        <f t="shared" si="25"/>
        <v>1266.8074614411637</v>
      </c>
      <c r="AW37" s="179">
        <f t="shared" si="26"/>
        <v>7934.2151532367625</v>
      </c>
      <c r="AY37" s="158">
        <f t="shared" si="27"/>
        <v>0.45708803917218599</v>
      </c>
      <c r="AZ37" s="188" t="str">
        <f t="shared" si="28"/>
        <v>AUMENTO</v>
      </c>
      <c r="BA37" s="159"/>
      <c r="BC37" s="177">
        <v>8000.8892301547185</v>
      </c>
      <c r="BE37" s="189">
        <f t="shared" si="29"/>
        <v>1943</v>
      </c>
      <c r="BF37" s="190">
        <f t="shared" si="30"/>
        <v>11658</v>
      </c>
      <c r="BG37" s="190">
        <f t="shared" si="31"/>
        <v>11658</v>
      </c>
    </row>
    <row r="38" spans="1:59" s="166" customFormat="1" ht="12" x14ac:dyDescent="0.2">
      <c r="A38" s="172">
        <v>26</v>
      </c>
      <c r="B38" s="173" t="s">
        <v>136</v>
      </c>
      <c r="C38" s="174" t="s">
        <v>3</v>
      </c>
      <c r="D38" s="175">
        <f t="shared" si="7"/>
        <v>4789.9159663865548</v>
      </c>
      <c r="E38" s="176">
        <f t="shared" si="8"/>
        <v>910.0840336134454</v>
      </c>
      <c r="F38" s="177">
        <v>5700</v>
      </c>
      <c r="G38" s="175">
        <v>5042.0168067226896</v>
      </c>
      <c r="H38" s="178">
        <v>957.98319327731099</v>
      </c>
      <c r="I38" s="179">
        <v>6000.0000000000009</v>
      </c>
      <c r="J38" s="180">
        <v>4933.333333333333</v>
      </c>
      <c r="K38" s="178">
        <f t="shared" si="9"/>
        <v>937.33333333333326</v>
      </c>
      <c r="L38" s="179">
        <f t="shared" si="10"/>
        <v>5870.6666666666661</v>
      </c>
      <c r="M38" s="181">
        <v>11400</v>
      </c>
      <c r="N38" s="182">
        <v>2166</v>
      </c>
      <c r="O38" s="179">
        <v>13566</v>
      </c>
      <c r="P38" s="181">
        <v>6218</v>
      </c>
      <c r="Q38" s="182">
        <v>1181.42</v>
      </c>
      <c r="R38" s="179">
        <v>7399.42</v>
      </c>
      <c r="S38" s="181">
        <v>9327.7310924369758</v>
      </c>
      <c r="T38" s="182">
        <v>1772.2689075630253</v>
      </c>
      <c r="U38" s="179">
        <v>11100.000000000002</v>
      </c>
      <c r="V38" s="191">
        <v>4781.7777122532552</v>
      </c>
      <c r="W38" s="182">
        <f t="shared" si="11"/>
        <v>908.53776532811855</v>
      </c>
      <c r="X38" s="179">
        <f t="shared" si="12"/>
        <v>5690.3154775813737</v>
      </c>
      <c r="Y38" s="184"/>
      <c r="Z38" s="177">
        <f t="shared" si="13"/>
        <v>5738.1332547039065</v>
      </c>
      <c r="AB38" s="179">
        <f>ROUND(AVERAGE(D38,G38,J38,V38),0)</f>
        <v>4887</v>
      </c>
      <c r="AC38" s="179">
        <f>ROUND(STDEVA(D38,G38,J38,V38),0)</f>
        <v>125</v>
      </c>
      <c r="AD38" s="158">
        <f t="shared" si="4"/>
        <v>2.55780642520974E-2</v>
      </c>
      <c r="AE38" s="179">
        <f t="shared" si="5"/>
        <v>4762</v>
      </c>
      <c r="AF38" s="179">
        <f t="shared" si="6"/>
        <v>5012</v>
      </c>
      <c r="AH38" s="179">
        <f t="shared" si="14"/>
        <v>4789.9159663865548</v>
      </c>
      <c r="AI38" s="179" t="str">
        <f t="shared" si="15"/>
        <v/>
      </c>
      <c r="AJ38" s="179">
        <f t="shared" si="16"/>
        <v>4933.333333333333</v>
      </c>
      <c r="AK38" s="179" t="str">
        <f t="shared" si="17"/>
        <v/>
      </c>
      <c r="AL38" s="179" t="str">
        <f t="shared" si="18"/>
        <v/>
      </c>
      <c r="AM38" s="179" t="str">
        <f t="shared" si="19"/>
        <v/>
      </c>
      <c r="AN38" s="179">
        <f t="shared" si="20"/>
        <v>4781.7777122532552</v>
      </c>
      <c r="AO38" s="179">
        <f t="shared" si="21"/>
        <v>4835</v>
      </c>
      <c r="AQ38" s="186">
        <f t="shared" si="22"/>
        <v>4835</v>
      </c>
      <c r="AR38" s="186">
        <f t="shared" si="23"/>
        <v>919</v>
      </c>
      <c r="AS38" s="186">
        <f t="shared" si="24"/>
        <v>5754</v>
      </c>
      <c r="AU38" s="191">
        <v>4781.7777122532552</v>
      </c>
      <c r="AV38" s="182">
        <f t="shared" si="25"/>
        <v>908.53776532811855</v>
      </c>
      <c r="AW38" s="179">
        <f t="shared" si="26"/>
        <v>5690.3154775813737</v>
      </c>
      <c r="AY38" s="158">
        <f t="shared" si="27"/>
        <v>1.1130230418357426E-2</v>
      </c>
      <c r="AZ38" s="188" t="str">
        <f t="shared" si="28"/>
        <v>AUMENTO</v>
      </c>
      <c r="BA38" s="159"/>
      <c r="BC38" s="177">
        <v>5738.1332547039065</v>
      </c>
      <c r="BE38" s="189">
        <f t="shared" si="29"/>
        <v>967</v>
      </c>
      <c r="BF38" s="190">
        <f t="shared" si="30"/>
        <v>5802</v>
      </c>
      <c r="BG38" s="190">
        <f t="shared" si="31"/>
        <v>5802</v>
      </c>
    </row>
    <row r="39" spans="1:59" s="166" customFormat="1" ht="12" x14ac:dyDescent="0.2">
      <c r="A39" s="172">
        <v>27</v>
      </c>
      <c r="B39" s="173" t="s">
        <v>137</v>
      </c>
      <c r="C39" s="174" t="s">
        <v>3</v>
      </c>
      <c r="D39" s="175">
        <f t="shared" si="7"/>
        <v>17773.10924369748</v>
      </c>
      <c r="E39" s="176">
        <f t="shared" si="8"/>
        <v>3376.8907563025214</v>
      </c>
      <c r="F39" s="177">
        <v>21150</v>
      </c>
      <c r="G39" s="175">
        <v>17970.265029088558</v>
      </c>
      <c r="H39" s="178">
        <v>3414.3503555268262</v>
      </c>
      <c r="I39" s="179">
        <v>21384.615384615383</v>
      </c>
      <c r="J39" s="180">
        <v>16800</v>
      </c>
      <c r="K39" s="178">
        <f t="shared" si="9"/>
        <v>3192</v>
      </c>
      <c r="L39" s="179">
        <f t="shared" si="10"/>
        <v>19992</v>
      </c>
      <c r="M39" s="181">
        <v>9600</v>
      </c>
      <c r="N39" s="182">
        <v>1824</v>
      </c>
      <c r="O39" s="179">
        <v>11424</v>
      </c>
      <c r="P39" s="175">
        <v>12118</v>
      </c>
      <c r="Q39" s="182">
        <v>2302.42</v>
      </c>
      <c r="R39" s="179">
        <v>14420.42</v>
      </c>
      <c r="S39" s="181">
        <v>35042.016806722691</v>
      </c>
      <c r="T39" s="182">
        <v>6657.9831932773113</v>
      </c>
      <c r="U39" s="179">
        <v>41700</v>
      </c>
      <c r="V39" s="191">
        <v>15270.722629159794</v>
      </c>
      <c r="W39" s="182">
        <f t="shared" si="11"/>
        <v>2901.4372995403605</v>
      </c>
      <c r="X39" s="179">
        <f t="shared" si="12"/>
        <v>18172.159928700155</v>
      </c>
      <c r="Y39" s="184"/>
      <c r="Z39" s="177">
        <f t="shared" si="13"/>
        <v>18324.867154991753</v>
      </c>
      <c r="AB39" s="179">
        <f>ROUND(AVERAGE(D39,G39,J39,P39,V39),0)</f>
        <v>15986</v>
      </c>
      <c r="AC39" s="179">
        <f>ROUND(STDEVA(D39,G39,J39,P39,V39),0)</f>
        <v>2412</v>
      </c>
      <c r="AD39" s="158">
        <f t="shared" si="4"/>
        <v>0.15088202176904791</v>
      </c>
      <c r="AE39" s="179">
        <f t="shared" si="5"/>
        <v>13574</v>
      </c>
      <c r="AF39" s="179">
        <f t="shared" si="6"/>
        <v>18398</v>
      </c>
      <c r="AH39" s="179">
        <f t="shared" si="14"/>
        <v>17773.10924369748</v>
      </c>
      <c r="AI39" s="179">
        <f t="shared" si="15"/>
        <v>17970.265029088558</v>
      </c>
      <c r="AJ39" s="179">
        <f t="shared" si="16"/>
        <v>16800</v>
      </c>
      <c r="AK39" s="179" t="str">
        <f t="shared" si="17"/>
        <v/>
      </c>
      <c r="AL39" s="179" t="str">
        <f t="shared" si="18"/>
        <v/>
      </c>
      <c r="AM39" s="179" t="str">
        <f t="shared" si="19"/>
        <v/>
      </c>
      <c r="AN39" s="179">
        <f t="shared" si="20"/>
        <v>15270.722629159794</v>
      </c>
      <c r="AO39" s="179">
        <f t="shared" si="21"/>
        <v>16954</v>
      </c>
      <c r="AQ39" s="186">
        <f t="shared" si="22"/>
        <v>16954</v>
      </c>
      <c r="AR39" s="186">
        <f t="shared" si="23"/>
        <v>3221</v>
      </c>
      <c r="AS39" s="186">
        <f t="shared" si="24"/>
        <v>20175</v>
      </c>
      <c r="AU39" s="191">
        <v>15270.722629159794</v>
      </c>
      <c r="AV39" s="182">
        <f t="shared" si="25"/>
        <v>2901.4372995403605</v>
      </c>
      <c r="AW39" s="179">
        <f t="shared" si="26"/>
        <v>18172.159928700155</v>
      </c>
      <c r="AY39" s="158">
        <f t="shared" si="27"/>
        <v>0.11022905802937896</v>
      </c>
      <c r="AZ39" s="188" t="str">
        <f t="shared" si="28"/>
        <v>AUMENTO</v>
      </c>
      <c r="BA39" s="159"/>
      <c r="BC39" s="177">
        <v>18324.867154991753</v>
      </c>
      <c r="BE39" s="189">
        <f t="shared" si="29"/>
        <v>3391</v>
      </c>
      <c r="BF39" s="190">
        <f t="shared" si="30"/>
        <v>20345</v>
      </c>
      <c r="BG39" s="190">
        <f t="shared" si="31"/>
        <v>20345</v>
      </c>
    </row>
    <row r="40" spans="1:59" s="166" customFormat="1" ht="12" x14ac:dyDescent="0.2">
      <c r="A40" s="172">
        <v>28</v>
      </c>
      <c r="B40" s="173" t="s">
        <v>138</v>
      </c>
      <c r="C40" s="174" t="s">
        <v>3</v>
      </c>
      <c r="D40" s="181">
        <f t="shared" si="7"/>
        <v>4373.9495798319331</v>
      </c>
      <c r="E40" s="176">
        <f t="shared" si="8"/>
        <v>831.05042016806726</v>
      </c>
      <c r="F40" s="177">
        <v>5205</v>
      </c>
      <c r="G40" s="175">
        <v>1551.3897866839045</v>
      </c>
      <c r="H40" s="178">
        <v>294.76405946994186</v>
      </c>
      <c r="I40" s="179">
        <v>1846.1538461538464</v>
      </c>
      <c r="J40" s="180">
        <v>1466.6666666666667</v>
      </c>
      <c r="K40" s="178">
        <f t="shared" si="9"/>
        <v>278.66666666666669</v>
      </c>
      <c r="L40" s="179">
        <f t="shared" si="10"/>
        <v>1745.3333333333335</v>
      </c>
      <c r="M40" s="181">
        <v>3300</v>
      </c>
      <c r="N40" s="182">
        <v>627</v>
      </c>
      <c r="O40" s="179">
        <v>3927</v>
      </c>
      <c r="P40" s="175">
        <v>1055</v>
      </c>
      <c r="Q40" s="182">
        <v>200.45</v>
      </c>
      <c r="R40" s="179">
        <v>1255.45</v>
      </c>
      <c r="S40" s="181">
        <v>2773.1092436974791</v>
      </c>
      <c r="T40" s="182">
        <v>526.89075630252103</v>
      </c>
      <c r="U40" s="179">
        <v>3300</v>
      </c>
      <c r="V40" s="191">
        <v>1152.4983856511299</v>
      </c>
      <c r="W40" s="182">
        <f t="shared" si="11"/>
        <v>218.97469327371465</v>
      </c>
      <c r="X40" s="179">
        <f t="shared" si="12"/>
        <v>1371.4730789248445</v>
      </c>
      <c r="Y40" s="184"/>
      <c r="Z40" s="177">
        <f t="shared" si="13"/>
        <v>1382.9980627813559</v>
      </c>
      <c r="AB40" s="179">
        <f>ROUND(AVERAGE(G40,J40,P40,V40),0)</f>
        <v>1306</v>
      </c>
      <c r="AC40" s="179">
        <f>ROUND(STDEVA(G40,J40,P40,V40),0)</f>
        <v>240</v>
      </c>
      <c r="AD40" s="158">
        <f t="shared" si="4"/>
        <v>0.18376722817764166</v>
      </c>
      <c r="AE40" s="179">
        <f t="shared" si="5"/>
        <v>1066</v>
      </c>
      <c r="AF40" s="179">
        <f t="shared" si="6"/>
        <v>1546</v>
      </c>
      <c r="AH40" s="179" t="str">
        <f t="shared" si="14"/>
        <v/>
      </c>
      <c r="AI40" s="179" t="str">
        <f t="shared" si="15"/>
        <v/>
      </c>
      <c r="AJ40" s="179">
        <f t="shared" si="16"/>
        <v>1466.6666666666667</v>
      </c>
      <c r="AK40" s="179" t="str">
        <f t="shared" si="17"/>
        <v/>
      </c>
      <c r="AL40" s="179" t="str">
        <f t="shared" si="18"/>
        <v/>
      </c>
      <c r="AM40" s="179" t="str">
        <f t="shared" si="19"/>
        <v/>
      </c>
      <c r="AN40" s="179">
        <f t="shared" si="20"/>
        <v>1152.4983856511299</v>
      </c>
      <c r="AO40" s="179">
        <f t="shared" si="21"/>
        <v>1310</v>
      </c>
      <c r="AQ40" s="186">
        <f t="shared" si="22"/>
        <v>1310</v>
      </c>
      <c r="AR40" s="186">
        <f t="shared" si="23"/>
        <v>249</v>
      </c>
      <c r="AS40" s="186">
        <f t="shared" si="24"/>
        <v>1559</v>
      </c>
      <c r="AU40" s="191">
        <v>1152.4983856511299</v>
      </c>
      <c r="AV40" s="182">
        <f t="shared" si="25"/>
        <v>218.97469327371465</v>
      </c>
      <c r="AW40" s="179">
        <f t="shared" si="26"/>
        <v>1371.4730789248445</v>
      </c>
      <c r="AY40" s="158">
        <f t="shared" si="27"/>
        <v>0.13666102817132023</v>
      </c>
      <c r="AZ40" s="188" t="str">
        <f t="shared" si="28"/>
        <v>AUMENTO</v>
      </c>
      <c r="BA40" s="159"/>
      <c r="BC40" s="177">
        <v>1382.9980627813559</v>
      </c>
      <c r="BE40" s="189">
        <f t="shared" si="29"/>
        <v>262</v>
      </c>
      <c r="BF40" s="190">
        <f t="shared" si="30"/>
        <v>1572</v>
      </c>
      <c r="BG40" s="190">
        <f t="shared" si="31"/>
        <v>1572</v>
      </c>
    </row>
    <row r="41" spans="1:59" s="166" customFormat="1" ht="24" x14ac:dyDescent="0.2">
      <c r="A41" s="172">
        <v>29</v>
      </c>
      <c r="B41" s="173" t="s">
        <v>140</v>
      </c>
      <c r="C41" s="174" t="s">
        <v>3</v>
      </c>
      <c r="D41" s="181">
        <f t="shared" si="7"/>
        <v>5250</v>
      </c>
      <c r="E41" s="176">
        <f t="shared" si="8"/>
        <v>997.5</v>
      </c>
      <c r="F41" s="177">
        <v>6247.5</v>
      </c>
      <c r="G41" s="181">
        <v>6334.841628959276</v>
      </c>
      <c r="H41" s="178">
        <v>1203.6199095022625</v>
      </c>
      <c r="I41" s="179">
        <v>7538.461538461539</v>
      </c>
      <c r="J41" s="180">
        <v>2533.3333333333335</v>
      </c>
      <c r="K41" s="178">
        <f t="shared" si="9"/>
        <v>481.33333333333337</v>
      </c>
      <c r="L41" s="179">
        <f t="shared" si="10"/>
        <v>3014.666666666667</v>
      </c>
      <c r="M41" s="181">
        <v>17250</v>
      </c>
      <c r="N41" s="182">
        <v>3277.5</v>
      </c>
      <c r="O41" s="179">
        <v>20527.5</v>
      </c>
      <c r="P41" s="175">
        <v>3387</v>
      </c>
      <c r="Q41" s="182">
        <v>643.53</v>
      </c>
      <c r="R41" s="179">
        <v>4030.5299999999997</v>
      </c>
      <c r="S41" s="181">
        <v>10588.235294117647</v>
      </c>
      <c r="T41" s="182">
        <v>2011.7647058823529</v>
      </c>
      <c r="U41" s="179">
        <v>12600</v>
      </c>
      <c r="V41" s="191">
        <v>3210.2367648186778</v>
      </c>
      <c r="W41" s="182">
        <f t="shared" si="11"/>
        <v>609.94498531554882</v>
      </c>
      <c r="X41" s="179">
        <f t="shared" si="12"/>
        <v>3820.1817501342266</v>
      </c>
      <c r="Y41" s="184"/>
      <c r="Z41" s="177">
        <f t="shared" si="13"/>
        <v>3852.284117782413</v>
      </c>
      <c r="AB41" s="179">
        <f>ROUND(AVERAGE(J41,P41,V41),0)</f>
        <v>3044</v>
      </c>
      <c r="AC41" s="179">
        <f>ROUND(STDEVA(J41,P41,V41),0)</f>
        <v>451</v>
      </c>
      <c r="AD41" s="158">
        <f t="shared" si="4"/>
        <v>0.14816031537450722</v>
      </c>
      <c r="AE41" s="179">
        <f t="shared" si="5"/>
        <v>2593</v>
      </c>
      <c r="AF41" s="179">
        <f t="shared" si="6"/>
        <v>3495</v>
      </c>
      <c r="AH41" s="179" t="str">
        <f t="shared" si="14"/>
        <v/>
      </c>
      <c r="AI41" s="179" t="str">
        <f t="shared" si="15"/>
        <v/>
      </c>
      <c r="AJ41" s="179" t="str">
        <f t="shared" si="16"/>
        <v/>
      </c>
      <c r="AK41" s="179" t="str">
        <f t="shared" si="17"/>
        <v/>
      </c>
      <c r="AL41" s="179">
        <f t="shared" si="18"/>
        <v>3387</v>
      </c>
      <c r="AM41" s="179" t="str">
        <f t="shared" si="19"/>
        <v/>
      </c>
      <c r="AN41" s="179">
        <f t="shared" si="20"/>
        <v>3210.2367648186778</v>
      </c>
      <c r="AO41" s="179">
        <f t="shared" si="21"/>
        <v>3299</v>
      </c>
      <c r="AQ41" s="186">
        <f t="shared" si="22"/>
        <v>3299</v>
      </c>
      <c r="AR41" s="186">
        <f t="shared" si="23"/>
        <v>627</v>
      </c>
      <c r="AS41" s="186">
        <f t="shared" si="24"/>
        <v>3926</v>
      </c>
      <c r="AU41" s="191">
        <v>3210.2367648186778</v>
      </c>
      <c r="AV41" s="182">
        <f t="shared" si="25"/>
        <v>609.94498531554882</v>
      </c>
      <c r="AW41" s="179">
        <f t="shared" si="26"/>
        <v>3820.1817501342266</v>
      </c>
      <c r="AY41" s="158">
        <f t="shared" si="27"/>
        <v>2.765005876017864E-2</v>
      </c>
      <c r="AZ41" s="188" t="str">
        <f t="shared" si="28"/>
        <v>AUMENTO</v>
      </c>
      <c r="BA41" s="159"/>
      <c r="BC41" s="177">
        <v>3852.284117782413</v>
      </c>
      <c r="BE41" s="189">
        <f t="shared" si="29"/>
        <v>660</v>
      </c>
      <c r="BF41" s="190">
        <f t="shared" si="30"/>
        <v>3959</v>
      </c>
      <c r="BG41" s="190">
        <f t="shared" si="31"/>
        <v>3959</v>
      </c>
    </row>
    <row r="42" spans="1:59" s="166" customFormat="1" ht="12" x14ac:dyDescent="0.2">
      <c r="A42" s="172">
        <v>30</v>
      </c>
      <c r="B42" s="173" t="s">
        <v>142</v>
      </c>
      <c r="C42" s="174" t="s">
        <v>3</v>
      </c>
      <c r="D42" s="200">
        <f t="shared" si="7"/>
        <v>8193.2773109243699</v>
      </c>
      <c r="E42" s="176">
        <f t="shared" si="8"/>
        <v>1556.7226890756303</v>
      </c>
      <c r="F42" s="177">
        <v>9750</v>
      </c>
      <c r="G42" s="175">
        <v>70976.082740788625</v>
      </c>
      <c r="H42" s="178">
        <v>13485.455720749838</v>
      </c>
      <c r="I42" s="179">
        <v>84461.538461538468</v>
      </c>
      <c r="J42" s="180">
        <v>66133.333333333328</v>
      </c>
      <c r="K42" s="178">
        <f t="shared" si="9"/>
        <v>12565.333333333332</v>
      </c>
      <c r="L42" s="179">
        <f t="shared" si="10"/>
        <v>78698.666666666657</v>
      </c>
      <c r="M42" s="200">
        <v>137700</v>
      </c>
      <c r="N42" s="201">
        <v>26163</v>
      </c>
      <c r="O42" s="200">
        <v>163863</v>
      </c>
      <c r="P42" s="200">
        <v>109800</v>
      </c>
      <c r="Q42" s="182">
        <v>20862</v>
      </c>
      <c r="R42" s="179">
        <v>130662</v>
      </c>
      <c r="S42" s="200">
        <v>138403.36134453781</v>
      </c>
      <c r="T42" s="182">
        <v>26296.638655462186</v>
      </c>
      <c r="U42" s="179">
        <v>164700</v>
      </c>
      <c r="V42" s="191">
        <v>44050.774114178232</v>
      </c>
      <c r="W42" s="182">
        <f t="shared" si="11"/>
        <v>8369.6470816938636</v>
      </c>
      <c r="X42" s="179">
        <f t="shared" si="12"/>
        <v>52420.421195872099</v>
      </c>
      <c r="Y42" s="184"/>
      <c r="Z42" s="177">
        <f>+V42*1.2</f>
        <v>52860.928937013879</v>
      </c>
      <c r="AB42" s="179">
        <f>ROUND(AVERAGE(G42,J42,V42),0)</f>
        <v>60387</v>
      </c>
      <c r="AC42" s="179">
        <f>ROUND(STDEVA(G42,J42,V42),0)</f>
        <v>14353</v>
      </c>
      <c r="AD42" s="158">
        <f t="shared" si="4"/>
        <v>0.23768360739894348</v>
      </c>
      <c r="AE42" s="179">
        <f>+ROUND(AB42-AC42,0)</f>
        <v>46034</v>
      </c>
      <c r="AF42" s="179">
        <f>+ROUND(AB42+AC42,0)</f>
        <v>74740</v>
      </c>
      <c r="AH42" s="179" t="str">
        <f>IF(AND(D42&gt;$AE42,D42&lt;$AF42),D42,"")</f>
        <v/>
      </c>
      <c r="AI42" s="179">
        <f t="shared" si="15"/>
        <v>70976.082740788625</v>
      </c>
      <c r="AJ42" s="179">
        <f t="shared" si="16"/>
        <v>66133.333333333328</v>
      </c>
      <c r="AK42" s="179" t="str">
        <f t="shared" si="17"/>
        <v/>
      </c>
      <c r="AL42" s="179" t="str">
        <f t="shared" si="18"/>
        <v/>
      </c>
      <c r="AM42" s="179" t="str">
        <f t="shared" si="19"/>
        <v/>
      </c>
      <c r="AN42" s="179" t="str">
        <f t="shared" si="20"/>
        <v/>
      </c>
      <c r="AO42" s="179">
        <f>ROUND(AVERAGE(AH42:AN42),0)</f>
        <v>68555</v>
      </c>
      <c r="AQ42" s="186">
        <f t="shared" si="22"/>
        <v>68555</v>
      </c>
      <c r="AR42" s="186">
        <f t="shared" si="23"/>
        <v>13025</v>
      </c>
      <c r="AS42" s="186">
        <f t="shared" si="24"/>
        <v>81580</v>
      </c>
      <c r="AU42" s="191">
        <v>44050.774114178232</v>
      </c>
      <c r="AV42" s="182">
        <f t="shared" si="25"/>
        <v>8369.6470816938636</v>
      </c>
      <c r="AW42" s="179">
        <f t="shared" si="26"/>
        <v>52420.421195872099</v>
      </c>
      <c r="AY42" s="158">
        <f t="shared" si="27"/>
        <v>0.55627231027331281</v>
      </c>
      <c r="AZ42" s="188" t="str">
        <f t="shared" si="28"/>
        <v>AUMENTO</v>
      </c>
      <c r="BA42" s="159"/>
      <c r="BC42" s="177">
        <v>52860.928937013879</v>
      </c>
      <c r="BE42" s="189">
        <f t="shared" si="29"/>
        <v>13711</v>
      </c>
      <c r="BF42" s="190">
        <f t="shared" si="30"/>
        <v>82266</v>
      </c>
      <c r="BG42" s="190">
        <f t="shared" si="31"/>
        <v>82266</v>
      </c>
    </row>
    <row r="43" spans="1:59" s="166" customFormat="1" ht="12" x14ac:dyDescent="0.2">
      <c r="A43" s="172">
        <v>31</v>
      </c>
      <c r="B43" s="173" t="s">
        <v>143</v>
      </c>
      <c r="C43" s="174" t="s">
        <v>3</v>
      </c>
      <c r="D43" s="181">
        <f t="shared" si="7"/>
        <v>12352.941176470589</v>
      </c>
      <c r="E43" s="176">
        <f t="shared" si="8"/>
        <v>2347.0588235294122</v>
      </c>
      <c r="F43" s="177">
        <v>14700</v>
      </c>
      <c r="G43" s="175">
        <v>55578.53910795087</v>
      </c>
      <c r="H43" s="178">
        <v>10559.922430510665</v>
      </c>
      <c r="I43" s="179">
        <v>66138.461538461532</v>
      </c>
      <c r="J43" s="180">
        <v>51333.333333333336</v>
      </c>
      <c r="K43" s="178">
        <f t="shared" si="9"/>
        <v>9753.3333333333339</v>
      </c>
      <c r="L43" s="179">
        <f t="shared" si="10"/>
        <v>61086.666666666672</v>
      </c>
      <c r="M43" s="181">
        <v>126000</v>
      </c>
      <c r="N43" s="182">
        <v>23940</v>
      </c>
      <c r="O43" s="179">
        <v>149940</v>
      </c>
      <c r="P43" s="175">
        <v>83980</v>
      </c>
      <c r="Q43" s="182">
        <v>15956.2</v>
      </c>
      <c r="R43" s="179">
        <v>99936.2</v>
      </c>
      <c r="S43" s="181">
        <v>105857.14285714286</v>
      </c>
      <c r="T43" s="182">
        <v>20112.857142857141</v>
      </c>
      <c r="U43" s="179">
        <v>125970</v>
      </c>
      <c r="V43" s="191">
        <v>79937.457655152743</v>
      </c>
      <c r="W43" s="182">
        <f t="shared" si="11"/>
        <v>15188.116954479023</v>
      </c>
      <c r="X43" s="179">
        <f t="shared" si="12"/>
        <v>95125.57460963176</v>
      </c>
      <c r="Y43" s="184"/>
      <c r="Z43" s="177">
        <f t="shared" si="13"/>
        <v>95924.949186183294</v>
      </c>
      <c r="AB43" s="179">
        <f>ROUND(AVERAGE(G43,J43,P43,V43),0)</f>
        <v>67707</v>
      </c>
      <c r="AC43" s="179">
        <f>ROUND(STDEVA(G43,J43,P43,V43),0)</f>
        <v>16629</v>
      </c>
      <c r="AD43" s="158">
        <f t="shared" si="4"/>
        <v>0.24560237493907572</v>
      </c>
      <c r="AE43" s="179">
        <f t="shared" si="5"/>
        <v>51078</v>
      </c>
      <c r="AF43" s="179">
        <f t="shared" si="6"/>
        <v>84336</v>
      </c>
      <c r="AH43" s="179" t="str">
        <f t="shared" si="14"/>
        <v/>
      </c>
      <c r="AI43" s="179">
        <f t="shared" si="15"/>
        <v>55578.53910795087</v>
      </c>
      <c r="AJ43" s="179">
        <f t="shared" si="16"/>
        <v>51333.333333333336</v>
      </c>
      <c r="AK43" s="179" t="str">
        <f t="shared" si="17"/>
        <v/>
      </c>
      <c r="AL43" s="179">
        <f t="shared" si="18"/>
        <v>83980</v>
      </c>
      <c r="AM43" s="179" t="str">
        <f t="shared" si="19"/>
        <v/>
      </c>
      <c r="AN43" s="179">
        <f t="shared" si="20"/>
        <v>79937.457655152743</v>
      </c>
      <c r="AO43" s="179">
        <f t="shared" si="21"/>
        <v>67707</v>
      </c>
      <c r="AQ43" s="186">
        <f t="shared" si="22"/>
        <v>67707</v>
      </c>
      <c r="AR43" s="186">
        <f t="shared" si="23"/>
        <v>12864</v>
      </c>
      <c r="AS43" s="186">
        <f t="shared" si="24"/>
        <v>80571</v>
      </c>
      <c r="AU43" s="191">
        <v>79937.457655152743</v>
      </c>
      <c r="AV43" s="182">
        <f t="shared" si="25"/>
        <v>15188.116954479023</v>
      </c>
      <c r="AW43" s="179">
        <f t="shared" si="26"/>
        <v>95125.57460963176</v>
      </c>
      <c r="AY43" s="158">
        <f t="shared" si="27"/>
        <v>-0.15300033318440634</v>
      </c>
      <c r="AZ43" s="188" t="str">
        <f t="shared" si="28"/>
        <v>AUMENTO</v>
      </c>
      <c r="BA43" s="159"/>
      <c r="BC43" s="177">
        <v>95924.949186183294</v>
      </c>
      <c r="BE43" s="189">
        <f t="shared" si="29"/>
        <v>13541</v>
      </c>
      <c r="BF43" s="190">
        <f t="shared" si="30"/>
        <v>81248</v>
      </c>
      <c r="BG43" s="190">
        <f t="shared" si="31"/>
        <v>81248</v>
      </c>
    </row>
    <row r="44" spans="1:59" s="166" customFormat="1" ht="12" x14ac:dyDescent="0.2">
      <c r="A44" s="172">
        <v>32</v>
      </c>
      <c r="B44" s="173" t="s">
        <v>144</v>
      </c>
      <c r="C44" s="174" t="s">
        <v>3</v>
      </c>
      <c r="D44" s="175">
        <f t="shared" si="7"/>
        <v>13865.546218487396</v>
      </c>
      <c r="E44" s="176">
        <f t="shared" si="8"/>
        <v>2634.4537815126055</v>
      </c>
      <c r="F44" s="177">
        <v>16500</v>
      </c>
      <c r="G44" s="175">
        <v>12915.319974143504</v>
      </c>
      <c r="H44" s="178">
        <v>2453.9107950872658</v>
      </c>
      <c r="I44" s="179">
        <v>15369.23076923077</v>
      </c>
      <c r="J44" s="192">
        <v>22000</v>
      </c>
      <c r="K44" s="178">
        <f t="shared" si="9"/>
        <v>4180</v>
      </c>
      <c r="L44" s="179">
        <f t="shared" si="10"/>
        <v>26180</v>
      </c>
      <c r="M44" s="181">
        <v>53700</v>
      </c>
      <c r="N44" s="182">
        <v>10203</v>
      </c>
      <c r="O44" s="179">
        <v>63903</v>
      </c>
      <c r="P44" s="181">
        <v>30084</v>
      </c>
      <c r="Q44" s="182">
        <v>5715.96</v>
      </c>
      <c r="R44" s="179">
        <v>35799.96</v>
      </c>
      <c r="S44" s="181">
        <v>45126.050420168067</v>
      </c>
      <c r="T44" s="182">
        <v>8573.9495798319331</v>
      </c>
      <c r="U44" s="179">
        <v>53700</v>
      </c>
      <c r="V44" s="191">
        <v>17313.156904471805</v>
      </c>
      <c r="W44" s="182">
        <f t="shared" si="11"/>
        <v>3289.4998118496428</v>
      </c>
      <c r="X44" s="179">
        <f t="shared" si="12"/>
        <v>20602.656716321449</v>
      </c>
      <c r="Y44" s="184"/>
      <c r="Z44" s="177">
        <f t="shared" si="13"/>
        <v>20775.788285366165</v>
      </c>
      <c r="AB44" s="179">
        <f>ROUND(AVERAGE(D44,G44,V44),0)</f>
        <v>14698</v>
      </c>
      <c r="AC44" s="179">
        <f>ROUND(STDEVA(D44,G44,V44),0)</f>
        <v>2314</v>
      </c>
      <c r="AD44" s="158">
        <f t="shared" si="4"/>
        <v>0.15743638590284392</v>
      </c>
      <c r="AE44" s="179">
        <f t="shared" si="5"/>
        <v>12384</v>
      </c>
      <c r="AF44" s="179">
        <f t="shared" si="6"/>
        <v>17012</v>
      </c>
      <c r="AH44" s="179">
        <f t="shared" si="14"/>
        <v>13865.546218487396</v>
      </c>
      <c r="AI44" s="179">
        <f t="shared" si="15"/>
        <v>12915.319974143504</v>
      </c>
      <c r="AJ44" s="179" t="str">
        <f t="shared" si="16"/>
        <v/>
      </c>
      <c r="AK44" s="179" t="str">
        <f t="shared" si="17"/>
        <v/>
      </c>
      <c r="AL44" s="179" t="str">
        <f t="shared" si="18"/>
        <v/>
      </c>
      <c r="AM44" s="179" t="str">
        <f t="shared" si="19"/>
        <v/>
      </c>
      <c r="AN44" s="179" t="str">
        <f t="shared" si="20"/>
        <v/>
      </c>
      <c r="AO44" s="179">
        <f t="shared" si="21"/>
        <v>13390</v>
      </c>
      <c r="AQ44" s="186">
        <f t="shared" si="22"/>
        <v>13390</v>
      </c>
      <c r="AR44" s="186">
        <f t="shared" si="23"/>
        <v>2544</v>
      </c>
      <c r="AS44" s="186">
        <f t="shared" si="24"/>
        <v>15934</v>
      </c>
      <c r="AU44" s="191">
        <v>17313.156904471805</v>
      </c>
      <c r="AV44" s="182">
        <f t="shared" si="25"/>
        <v>3289.4998118496428</v>
      </c>
      <c r="AW44" s="179">
        <f t="shared" si="26"/>
        <v>20602.656716321449</v>
      </c>
      <c r="AY44" s="158">
        <f t="shared" si="27"/>
        <v>-0.22659974296533381</v>
      </c>
      <c r="AZ44" s="188" t="str">
        <f t="shared" si="28"/>
        <v>AUMENTO</v>
      </c>
      <c r="BA44" s="159"/>
      <c r="BC44" s="177">
        <v>20775.788285366165</v>
      </c>
      <c r="BE44" s="189">
        <f t="shared" si="29"/>
        <v>2678</v>
      </c>
      <c r="BF44" s="190">
        <f t="shared" si="30"/>
        <v>16068</v>
      </c>
      <c r="BG44" s="190">
        <f t="shared" si="31"/>
        <v>16068</v>
      </c>
    </row>
    <row r="45" spans="1:59" s="166" customFormat="1" ht="12" x14ac:dyDescent="0.2">
      <c r="A45" s="172">
        <v>33</v>
      </c>
      <c r="B45" s="173" t="s">
        <v>145</v>
      </c>
      <c r="C45" s="174" t="s">
        <v>3</v>
      </c>
      <c r="D45" s="181">
        <f t="shared" si="7"/>
        <v>11344.53781512605</v>
      </c>
      <c r="E45" s="176">
        <f t="shared" si="8"/>
        <v>2155.4621848739494</v>
      </c>
      <c r="F45" s="177">
        <v>13500</v>
      </c>
      <c r="G45" s="175">
        <v>24434.389140271491</v>
      </c>
      <c r="H45" s="178">
        <v>4642.5339366515836</v>
      </c>
      <c r="I45" s="179">
        <v>29076.923076923074</v>
      </c>
      <c r="J45" s="180">
        <v>23333.333333333332</v>
      </c>
      <c r="K45" s="178">
        <f t="shared" si="9"/>
        <v>4433.333333333333</v>
      </c>
      <c r="L45" s="179">
        <f t="shared" si="10"/>
        <v>27766.666666666664</v>
      </c>
      <c r="M45" s="181">
        <v>56700</v>
      </c>
      <c r="N45" s="182">
        <v>10773</v>
      </c>
      <c r="O45" s="179">
        <v>67473</v>
      </c>
      <c r="P45" s="175">
        <v>31765</v>
      </c>
      <c r="Q45" s="182">
        <v>6035.35</v>
      </c>
      <c r="R45" s="179">
        <v>37800.35</v>
      </c>
      <c r="S45" s="181">
        <v>47647.058823529413</v>
      </c>
      <c r="T45" s="182">
        <v>9052.9411764705892</v>
      </c>
      <c r="U45" s="179">
        <v>56700</v>
      </c>
      <c r="V45" s="199">
        <v>15859.620927181964</v>
      </c>
      <c r="W45" s="182">
        <f t="shared" si="11"/>
        <v>3013.3279761645736</v>
      </c>
      <c r="X45" s="179">
        <f t="shared" si="12"/>
        <v>18872.948903346536</v>
      </c>
      <c r="Y45" s="184"/>
      <c r="Z45" s="177">
        <f t="shared" si="13"/>
        <v>19031.545112618358</v>
      </c>
      <c r="AB45" s="179">
        <f>ROUND(AVERAGE(G45,J45,P45),0)</f>
        <v>26511</v>
      </c>
      <c r="AC45" s="179">
        <f>ROUND(STDEVA(G45,J45,P45),0)</f>
        <v>4583</v>
      </c>
      <c r="AD45" s="158">
        <f t="shared" si="4"/>
        <v>0.17287163818792201</v>
      </c>
      <c r="AE45" s="179">
        <f t="shared" si="5"/>
        <v>21928</v>
      </c>
      <c r="AF45" s="179">
        <f t="shared" si="6"/>
        <v>31094</v>
      </c>
      <c r="AH45" s="179" t="str">
        <f t="shared" si="14"/>
        <v/>
      </c>
      <c r="AI45" s="179">
        <f t="shared" si="15"/>
        <v>24434.389140271491</v>
      </c>
      <c r="AJ45" s="179">
        <f t="shared" si="16"/>
        <v>23333.333333333332</v>
      </c>
      <c r="AK45" s="179" t="str">
        <f t="shared" si="17"/>
        <v/>
      </c>
      <c r="AL45" s="179" t="str">
        <f t="shared" si="18"/>
        <v/>
      </c>
      <c r="AM45" s="179" t="str">
        <f t="shared" si="19"/>
        <v/>
      </c>
      <c r="AN45" s="179" t="str">
        <f t="shared" si="20"/>
        <v/>
      </c>
      <c r="AO45" s="179">
        <f t="shared" si="21"/>
        <v>23884</v>
      </c>
      <c r="AQ45" s="186">
        <f t="shared" si="22"/>
        <v>23884</v>
      </c>
      <c r="AR45" s="186">
        <f t="shared" si="23"/>
        <v>4538</v>
      </c>
      <c r="AS45" s="186">
        <f t="shared" si="24"/>
        <v>28422</v>
      </c>
      <c r="AU45" s="191">
        <v>15859.620927181964</v>
      </c>
      <c r="AV45" s="182">
        <f t="shared" si="25"/>
        <v>3013.3279761645736</v>
      </c>
      <c r="AW45" s="179">
        <f t="shared" si="26"/>
        <v>18872.948903346536</v>
      </c>
      <c r="AY45" s="158">
        <f t="shared" si="27"/>
        <v>0.50596285432427779</v>
      </c>
      <c r="AZ45" s="188" t="str">
        <f t="shared" si="28"/>
        <v>AUMENTO</v>
      </c>
      <c r="BA45" s="159"/>
      <c r="BC45" s="177">
        <v>19031.545112618358</v>
      </c>
      <c r="BE45" s="189">
        <f t="shared" si="29"/>
        <v>4777</v>
      </c>
      <c r="BF45" s="190">
        <f t="shared" si="30"/>
        <v>28661</v>
      </c>
      <c r="BG45" s="190">
        <f t="shared" si="31"/>
        <v>28661</v>
      </c>
    </row>
    <row r="46" spans="1:59" s="166" customFormat="1" ht="18.600000000000001" customHeight="1" x14ac:dyDescent="0.2">
      <c r="A46" s="172">
        <v>34</v>
      </c>
      <c r="B46" s="173" t="s">
        <v>146</v>
      </c>
      <c r="C46" s="174" t="s">
        <v>3</v>
      </c>
      <c r="D46" s="175">
        <f t="shared" si="7"/>
        <v>207352.9411764706</v>
      </c>
      <c r="E46" s="176">
        <f t="shared" si="8"/>
        <v>39397.058823529413</v>
      </c>
      <c r="F46" s="177">
        <v>246750</v>
      </c>
      <c r="G46" s="175">
        <v>214479.63800904978</v>
      </c>
      <c r="H46" s="178">
        <v>40751.131221719457</v>
      </c>
      <c r="I46" s="179">
        <v>255230.76923076925</v>
      </c>
      <c r="J46" s="180">
        <v>193333.33333333334</v>
      </c>
      <c r="K46" s="178">
        <f t="shared" si="9"/>
        <v>36733.333333333336</v>
      </c>
      <c r="L46" s="179">
        <f t="shared" si="10"/>
        <v>230066.66666666669</v>
      </c>
      <c r="M46" s="181">
        <v>494700</v>
      </c>
      <c r="N46" s="182">
        <v>93993</v>
      </c>
      <c r="O46" s="179">
        <v>588693</v>
      </c>
      <c r="P46" s="181">
        <v>270000</v>
      </c>
      <c r="Q46" s="182">
        <v>51300</v>
      </c>
      <c r="R46" s="179">
        <v>321300</v>
      </c>
      <c r="S46" s="181">
        <v>415714.28571428574</v>
      </c>
      <c r="T46" s="182">
        <v>78985.71428571429</v>
      </c>
      <c r="U46" s="179">
        <v>494700</v>
      </c>
      <c r="V46" s="199">
        <v>156158.22484784058</v>
      </c>
      <c r="W46" s="182">
        <f t="shared" si="11"/>
        <v>29670.062721089711</v>
      </c>
      <c r="X46" s="179">
        <f t="shared" si="12"/>
        <v>185828.2875689303</v>
      </c>
      <c r="Y46" s="184"/>
      <c r="Z46" s="177">
        <f t="shared" si="13"/>
        <v>187389.8698174087</v>
      </c>
      <c r="AB46" s="179">
        <f>ROUND(AVERAGE(D46,G46,J46),0)</f>
        <v>205055</v>
      </c>
      <c r="AC46" s="179">
        <f>ROUND(STDEVA(D46,G46,J46),0)</f>
        <v>10759</v>
      </c>
      <c r="AD46" s="158">
        <f t="shared" si="4"/>
        <v>5.2468849820779789E-2</v>
      </c>
      <c r="AE46" s="179">
        <f t="shared" si="5"/>
        <v>194296</v>
      </c>
      <c r="AF46" s="179">
        <f t="shared" si="6"/>
        <v>215814</v>
      </c>
      <c r="AH46" s="179">
        <f t="shared" si="14"/>
        <v>207352.9411764706</v>
      </c>
      <c r="AI46" s="179">
        <f t="shared" si="15"/>
        <v>214479.63800904978</v>
      </c>
      <c r="AJ46" s="179" t="str">
        <f t="shared" si="16"/>
        <v/>
      </c>
      <c r="AK46" s="179" t="str">
        <f t="shared" si="17"/>
        <v/>
      </c>
      <c r="AL46" s="179" t="str">
        <f t="shared" si="18"/>
        <v/>
      </c>
      <c r="AM46" s="179" t="str">
        <f t="shared" si="19"/>
        <v/>
      </c>
      <c r="AN46" s="179" t="str">
        <f t="shared" si="20"/>
        <v/>
      </c>
      <c r="AO46" s="179">
        <f t="shared" si="21"/>
        <v>210916</v>
      </c>
      <c r="AQ46" s="186">
        <f t="shared" si="22"/>
        <v>210916</v>
      </c>
      <c r="AR46" s="186">
        <f t="shared" si="23"/>
        <v>40074</v>
      </c>
      <c r="AS46" s="186">
        <f t="shared" si="24"/>
        <v>250990</v>
      </c>
      <c r="AU46" s="191">
        <v>156158.22484784058</v>
      </c>
      <c r="AV46" s="182">
        <f t="shared" si="25"/>
        <v>29670.062721089711</v>
      </c>
      <c r="AW46" s="179">
        <f t="shared" si="26"/>
        <v>185828.2875689303</v>
      </c>
      <c r="AY46" s="158">
        <f t="shared" si="27"/>
        <v>0.3506557224604403</v>
      </c>
      <c r="AZ46" s="188" t="str">
        <f t="shared" si="28"/>
        <v>AUMENTO</v>
      </c>
      <c r="BA46" s="159"/>
      <c r="BC46" s="177">
        <v>187389.8698174087</v>
      </c>
      <c r="BE46" s="189">
        <f t="shared" si="29"/>
        <v>42183</v>
      </c>
      <c r="BF46" s="190">
        <f t="shared" si="30"/>
        <v>253099</v>
      </c>
      <c r="BG46" s="190">
        <f t="shared" si="31"/>
        <v>253099</v>
      </c>
    </row>
    <row r="47" spans="1:59" s="166" customFormat="1" ht="12" x14ac:dyDescent="0.2">
      <c r="A47" s="172">
        <v>35</v>
      </c>
      <c r="B47" s="173" t="s">
        <v>147</v>
      </c>
      <c r="C47" s="174" t="s">
        <v>19</v>
      </c>
      <c r="D47" s="175">
        <f t="shared" si="7"/>
        <v>15756.302521008403</v>
      </c>
      <c r="E47" s="176">
        <f t="shared" si="8"/>
        <v>2993.6974789915967</v>
      </c>
      <c r="F47" s="177">
        <v>18750</v>
      </c>
      <c r="G47" s="175">
        <v>19263.089851325145</v>
      </c>
      <c r="H47" s="178">
        <v>3659.9870717517774</v>
      </c>
      <c r="I47" s="179">
        <v>22923.076923076922</v>
      </c>
      <c r="J47" s="180">
        <v>17600</v>
      </c>
      <c r="K47" s="178">
        <f t="shared" si="9"/>
        <v>3344</v>
      </c>
      <c r="L47" s="179">
        <f t="shared" si="10"/>
        <v>20944</v>
      </c>
      <c r="M47" s="181">
        <v>174900</v>
      </c>
      <c r="N47" s="182">
        <v>33231</v>
      </c>
      <c r="O47" s="179">
        <v>208131</v>
      </c>
      <c r="P47" s="175">
        <v>20000</v>
      </c>
      <c r="Q47" s="182">
        <v>3800</v>
      </c>
      <c r="R47" s="179">
        <v>23800</v>
      </c>
      <c r="S47" s="181">
        <v>28991.596638655465</v>
      </c>
      <c r="T47" s="182">
        <v>5508.4033613445381</v>
      </c>
      <c r="U47" s="179">
        <v>34500</v>
      </c>
      <c r="V47" s="191">
        <v>14100.064230324664</v>
      </c>
      <c r="W47" s="182">
        <f t="shared" si="11"/>
        <v>2679.0122037616861</v>
      </c>
      <c r="X47" s="179">
        <f t="shared" si="12"/>
        <v>16779.07643408635</v>
      </c>
      <c r="Y47" s="184"/>
      <c r="Z47" s="177">
        <f t="shared" si="13"/>
        <v>16920.077076389596</v>
      </c>
      <c r="AB47" s="179">
        <f>ROUND(AVERAGE(D47,G47,J47,P47,V47),0)</f>
        <v>17344</v>
      </c>
      <c r="AC47" s="179">
        <f>ROUND(STDEVA(D47,G47,J47,P47,V47),0)</f>
        <v>2442</v>
      </c>
      <c r="AD47" s="158">
        <f t="shared" si="4"/>
        <v>0.1407979704797048</v>
      </c>
      <c r="AE47" s="179">
        <f t="shared" si="5"/>
        <v>14902</v>
      </c>
      <c r="AF47" s="179">
        <f t="shared" si="6"/>
        <v>19786</v>
      </c>
      <c r="AH47" s="179">
        <f t="shared" si="14"/>
        <v>15756.302521008403</v>
      </c>
      <c r="AI47" s="179">
        <f t="shared" si="15"/>
        <v>19263.089851325145</v>
      </c>
      <c r="AJ47" s="179">
        <f t="shared" si="16"/>
        <v>17600</v>
      </c>
      <c r="AK47" s="179" t="str">
        <f t="shared" si="17"/>
        <v/>
      </c>
      <c r="AL47" s="179" t="str">
        <f t="shared" si="18"/>
        <v/>
      </c>
      <c r="AM47" s="179" t="str">
        <f t="shared" si="19"/>
        <v/>
      </c>
      <c r="AN47" s="179" t="str">
        <f t="shared" si="20"/>
        <v/>
      </c>
      <c r="AO47" s="179">
        <f t="shared" si="21"/>
        <v>17540</v>
      </c>
      <c r="AQ47" s="186">
        <f t="shared" si="22"/>
        <v>17540</v>
      </c>
      <c r="AR47" s="186">
        <f t="shared" si="23"/>
        <v>3333</v>
      </c>
      <c r="AS47" s="186">
        <f t="shared" si="24"/>
        <v>20873</v>
      </c>
      <c r="AU47" s="191">
        <v>14100.064230324664</v>
      </c>
      <c r="AV47" s="182">
        <f t="shared" si="25"/>
        <v>2679.0122037616861</v>
      </c>
      <c r="AW47" s="179">
        <f t="shared" si="26"/>
        <v>16779.07643408635</v>
      </c>
      <c r="AY47" s="158">
        <f t="shared" si="27"/>
        <v>0.24396596451505165</v>
      </c>
      <c r="AZ47" s="188" t="str">
        <f t="shared" si="28"/>
        <v>AUMENTO</v>
      </c>
      <c r="BA47" s="159"/>
      <c r="BC47" s="177">
        <v>16920.077076389596</v>
      </c>
      <c r="BE47" s="189">
        <f t="shared" si="29"/>
        <v>3508</v>
      </c>
      <c r="BF47" s="190">
        <f t="shared" si="30"/>
        <v>21048</v>
      </c>
      <c r="BG47" s="190">
        <f t="shared" si="31"/>
        <v>21048</v>
      </c>
    </row>
    <row r="48" spans="1:59" s="166" customFormat="1" ht="12" x14ac:dyDescent="0.2">
      <c r="A48" s="172">
        <v>36</v>
      </c>
      <c r="B48" s="173" t="s">
        <v>148</v>
      </c>
      <c r="C48" s="174" t="s">
        <v>3</v>
      </c>
      <c r="D48" s="175">
        <f t="shared" si="7"/>
        <v>29495.798319327732</v>
      </c>
      <c r="E48" s="176">
        <f t="shared" si="8"/>
        <v>5604.2016806722695</v>
      </c>
      <c r="F48" s="177">
        <v>35100</v>
      </c>
      <c r="G48" s="175">
        <v>33484.162895927599</v>
      </c>
      <c r="H48" s="178">
        <v>6361.9909502262435</v>
      </c>
      <c r="I48" s="179">
        <v>39846.153846153844</v>
      </c>
      <c r="J48" s="180">
        <v>31333.333333333332</v>
      </c>
      <c r="K48" s="178">
        <f t="shared" si="9"/>
        <v>5953.3333333333321</v>
      </c>
      <c r="L48" s="179">
        <f t="shared" si="10"/>
        <v>37286.666666666664</v>
      </c>
      <c r="M48" s="181">
        <v>77700</v>
      </c>
      <c r="N48" s="182">
        <v>14763</v>
      </c>
      <c r="O48" s="179">
        <v>92463</v>
      </c>
      <c r="P48" s="181">
        <v>43529</v>
      </c>
      <c r="Q48" s="182">
        <v>8270.51</v>
      </c>
      <c r="R48" s="179">
        <v>51799.51</v>
      </c>
      <c r="S48" s="181">
        <v>65294.117647058825</v>
      </c>
      <c r="T48" s="182">
        <v>12405.882352941177</v>
      </c>
      <c r="U48" s="179">
        <v>77700</v>
      </c>
      <c r="V48" s="191">
        <v>30900.579090652744</v>
      </c>
      <c r="W48" s="182">
        <f t="shared" si="11"/>
        <v>5871.110027224021</v>
      </c>
      <c r="X48" s="179">
        <f t="shared" si="12"/>
        <v>36771.689117876762</v>
      </c>
      <c r="Y48" s="184"/>
      <c r="Z48" s="177">
        <f t="shared" si="13"/>
        <v>37080.694908783291</v>
      </c>
      <c r="AB48" s="179">
        <f>ROUND(AVERAGE(D48,G48,J48,V48),0)</f>
        <v>31303</v>
      </c>
      <c r="AC48" s="179">
        <f>ROUND(STDEVA(D48,G48,J48,V48),0)</f>
        <v>1652</v>
      </c>
      <c r="AD48" s="158">
        <f t="shared" si="4"/>
        <v>5.2774494457400248E-2</v>
      </c>
      <c r="AE48" s="179">
        <f t="shared" si="5"/>
        <v>29651</v>
      </c>
      <c r="AF48" s="179">
        <f t="shared" si="6"/>
        <v>32955</v>
      </c>
      <c r="AH48" s="179" t="str">
        <f t="shared" si="14"/>
        <v/>
      </c>
      <c r="AI48" s="179" t="str">
        <f t="shared" si="15"/>
        <v/>
      </c>
      <c r="AJ48" s="179">
        <f t="shared" si="16"/>
        <v>31333.333333333332</v>
      </c>
      <c r="AK48" s="179" t="str">
        <f t="shared" si="17"/>
        <v/>
      </c>
      <c r="AL48" s="179" t="str">
        <f t="shared" si="18"/>
        <v/>
      </c>
      <c r="AM48" s="179" t="str">
        <f t="shared" si="19"/>
        <v/>
      </c>
      <c r="AN48" s="179">
        <f t="shared" si="20"/>
        <v>30900.579090652744</v>
      </c>
      <c r="AO48" s="179">
        <f t="shared" si="21"/>
        <v>31117</v>
      </c>
      <c r="AQ48" s="186">
        <f t="shared" si="22"/>
        <v>31117</v>
      </c>
      <c r="AR48" s="186">
        <f t="shared" si="23"/>
        <v>5912</v>
      </c>
      <c r="AS48" s="186">
        <f t="shared" si="24"/>
        <v>37029</v>
      </c>
      <c r="AU48" s="191">
        <v>30900.579090652744</v>
      </c>
      <c r="AV48" s="182">
        <f t="shared" si="25"/>
        <v>5871.110027224021</v>
      </c>
      <c r="AW48" s="179">
        <f t="shared" si="26"/>
        <v>36771.689117876762</v>
      </c>
      <c r="AY48" s="158">
        <f t="shared" si="27"/>
        <v>7.0037816674032019E-3</v>
      </c>
      <c r="AZ48" s="188" t="str">
        <f t="shared" si="28"/>
        <v>AUMENTO</v>
      </c>
      <c r="BA48" s="159"/>
      <c r="BC48" s="177">
        <v>37080.694908783291</v>
      </c>
      <c r="BE48" s="189">
        <f t="shared" si="29"/>
        <v>6223</v>
      </c>
      <c r="BF48" s="190">
        <f t="shared" si="30"/>
        <v>37340</v>
      </c>
      <c r="BG48" s="190">
        <f t="shared" si="31"/>
        <v>37340</v>
      </c>
    </row>
    <row r="49" spans="1:59" s="166" customFormat="1" ht="12" x14ac:dyDescent="0.2">
      <c r="A49" s="172">
        <v>37</v>
      </c>
      <c r="B49" s="173" t="s">
        <v>149</v>
      </c>
      <c r="C49" s="174" t="s">
        <v>3</v>
      </c>
      <c r="D49" s="175">
        <f t="shared" si="7"/>
        <v>512394.95798319328</v>
      </c>
      <c r="E49" s="176">
        <f t="shared" si="8"/>
        <v>97355.042016806721</v>
      </c>
      <c r="F49" s="177">
        <v>609750</v>
      </c>
      <c r="G49" s="181">
        <v>831157.07821590174</v>
      </c>
      <c r="H49" s="178">
        <v>157919.84486102132</v>
      </c>
      <c r="I49" s="179">
        <v>989076.92307692301</v>
      </c>
      <c r="J49" s="180">
        <v>466666.66666666669</v>
      </c>
      <c r="K49" s="178">
        <f t="shared" si="9"/>
        <v>88666.666666666686</v>
      </c>
      <c r="L49" s="179">
        <f t="shared" si="10"/>
        <v>555333.33333333337</v>
      </c>
      <c r="M49" s="181">
        <v>1821000</v>
      </c>
      <c r="N49" s="182">
        <v>345990</v>
      </c>
      <c r="O49" s="179">
        <v>2166990</v>
      </c>
      <c r="P49" s="181">
        <v>969450</v>
      </c>
      <c r="Q49" s="182">
        <v>184195.5</v>
      </c>
      <c r="R49" s="179">
        <v>1153645.5</v>
      </c>
      <c r="S49" s="181">
        <v>1613445.3781512605</v>
      </c>
      <c r="T49" s="182">
        <v>306554.62184873951</v>
      </c>
      <c r="U49" s="179">
        <v>1920000</v>
      </c>
      <c r="V49" s="191">
        <v>473210.89010147291</v>
      </c>
      <c r="W49" s="182">
        <f t="shared" si="11"/>
        <v>89910.069119279855</v>
      </c>
      <c r="X49" s="179">
        <f t="shared" si="12"/>
        <v>563120.95922075282</v>
      </c>
      <c r="Y49" s="184"/>
      <c r="Z49" s="177">
        <f t="shared" si="13"/>
        <v>567853.06812176749</v>
      </c>
      <c r="AB49" s="179">
        <f>ROUND(AVERAGE(D49,J49,V49),0)</f>
        <v>484091</v>
      </c>
      <c r="AC49" s="179">
        <f>ROUND(STDEVA(D49,J49,V49),0)</f>
        <v>24730</v>
      </c>
      <c r="AD49" s="158">
        <f t="shared" si="4"/>
        <v>5.1085436415880488E-2</v>
      </c>
      <c r="AE49" s="179">
        <f t="shared" si="5"/>
        <v>459361</v>
      </c>
      <c r="AF49" s="179">
        <f t="shared" si="6"/>
        <v>508821</v>
      </c>
      <c r="AH49" s="179" t="str">
        <f t="shared" si="14"/>
        <v/>
      </c>
      <c r="AI49" s="179" t="str">
        <f t="shared" si="15"/>
        <v/>
      </c>
      <c r="AJ49" s="179">
        <f t="shared" si="16"/>
        <v>466666.66666666669</v>
      </c>
      <c r="AK49" s="179" t="str">
        <f t="shared" si="17"/>
        <v/>
      </c>
      <c r="AL49" s="179" t="str">
        <f t="shared" si="18"/>
        <v/>
      </c>
      <c r="AM49" s="179" t="str">
        <f t="shared" si="19"/>
        <v/>
      </c>
      <c r="AN49" s="179">
        <f t="shared" si="20"/>
        <v>473210.89010147291</v>
      </c>
      <c r="AO49" s="179">
        <f t="shared" si="21"/>
        <v>469939</v>
      </c>
      <c r="AQ49" s="186">
        <f t="shared" si="22"/>
        <v>469939</v>
      </c>
      <c r="AR49" s="186">
        <f t="shared" si="23"/>
        <v>89288</v>
      </c>
      <c r="AS49" s="186">
        <f t="shared" si="24"/>
        <v>559227</v>
      </c>
      <c r="AU49" s="191">
        <v>473210.89010147291</v>
      </c>
      <c r="AV49" s="182">
        <f t="shared" si="25"/>
        <v>89910.069119279855</v>
      </c>
      <c r="AW49" s="179">
        <f t="shared" si="26"/>
        <v>563120.95922075282</v>
      </c>
      <c r="AY49" s="158">
        <f t="shared" si="27"/>
        <v>-6.9142324699486479E-3</v>
      </c>
      <c r="AZ49" s="188" t="str">
        <f t="shared" si="28"/>
        <v>AUMENTO</v>
      </c>
      <c r="BA49" s="159"/>
      <c r="BC49" s="177">
        <v>567853.06812176749</v>
      </c>
      <c r="BE49" s="189">
        <f t="shared" si="29"/>
        <v>93988</v>
      </c>
      <c r="BF49" s="190">
        <f t="shared" si="30"/>
        <v>563927</v>
      </c>
      <c r="BG49" s="190">
        <f t="shared" si="31"/>
        <v>563927</v>
      </c>
    </row>
    <row r="50" spans="1:59" s="166" customFormat="1" ht="24" x14ac:dyDescent="0.2">
      <c r="A50" s="172">
        <v>38</v>
      </c>
      <c r="B50" s="173" t="s">
        <v>150</v>
      </c>
      <c r="C50" s="174" t="s">
        <v>3</v>
      </c>
      <c r="D50" s="181">
        <f t="shared" si="7"/>
        <v>80546.218487394959</v>
      </c>
      <c r="E50" s="176">
        <f t="shared" si="8"/>
        <v>15303.781512605043</v>
      </c>
      <c r="F50" s="177">
        <v>95850</v>
      </c>
      <c r="G50" s="175">
        <v>64511.958629605688</v>
      </c>
      <c r="H50" s="178">
        <v>12257.27213962508</v>
      </c>
      <c r="I50" s="179">
        <v>76769.230769230766</v>
      </c>
      <c r="J50" s="180">
        <v>70666.666666666672</v>
      </c>
      <c r="K50" s="178">
        <f t="shared" si="9"/>
        <v>13426.666666666668</v>
      </c>
      <c r="L50" s="179">
        <f t="shared" si="10"/>
        <v>84093.333333333343</v>
      </c>
      <c r="M50" s="181">
        <v>90000</v>
      </c>
      <c r="N50" s="182">
        <v>17100</v>
      </c>
      <c r="O50" s="179">
        <v>107100</v>
      </c>
      <c r="P50" s="181">
        <v>127800</v>
      </c>
      <c r="Q50" s="198">
        <v>24282</v>
      </c>
      <c r="R50" s="181">
        <v>152082</v>
      </c>
      <c r="S50" s="181">
        <v>161092.43697478992</v>
      </c>
      <c r="T50" s="182">
        <v>30607.563025210085</v>
      </c>
      <c r="U50" s="179">
        <v>191700</v>
      </c>
      <c r="V50" s="191">
        <v>69801.286640111357</v>
      </c>
      <c r="W50" s="182">
        <f t="shared" si="11"/>
        <v>13262.244461621158</v>
      </c>
      <c r="X50" s="179">
        <f t="shared" si="12"/>
        <v>83063.531101732515</v>
      </c>
      <c r="Y50" s="184"/>
      <c r="Z50" s="177">
        <f t="shared" si="13"/>
        <v>83761.543968133628</v>
      </c>
      <c r="AB50" s="179">
        <f>ROUND(AVERAGE(G50,J50,V50),0)</f>
        <v>68327</v>
      </c>
      <c r="AC50" s="179">
        <f>ROUND(STDEVA(G50,J50,V50),0)</f>
        <v>3332</v>
      </c>
      <c r="AD50" s="158">
        <f t="shared" si="4"/>
        <v>4.8765495338592355E-2</v>
      </c>
      <c r="AE50" s="179">
        <f t="shared" si="5"/>
        <v>64995</v>
      </c>
      <c r="AF50" s="179">
        <f t="shared" si="6"/>
        <v>71659</v>
      </c>
      <c r="AH50" s="179" t="str">
        <f t="shared" si="14"/>
        <v/>
      </c>
      <c r="AI50" s="179" t="str">
        <f t="shared" si="15"/>
        <v/>
      </c>
      <c r="AJ50" s="179">
        <f t="shared" si="16"/>
        <v>70666.666666666672</v>
      </c>
      <c r="AK50" s="179" t="str">
        <f t="shared" si="17"/>
        <v/>
      </c>
      <c r="AL50" s="179" t="str">
        <f t="shared" si="18"/>
        <v/>
      </c>
      <c r="AM50" s="179" t="str">
        <f t="shared" si="19"/>
        <v/>
      </c>
      <c r="AN50" s="179">
        <f t="shared" si="20"/>
        <v>69801.286640111357</v>
      </c>
      <c r="AO50" s="179">
        <f t="shared" si="21"/>
        <v>70234</v>
      </c>
      <c r="AQ50" s="186">
        <f t="shared" si="22"/>
        <v>70234</v>
      </c>
      <c r="AR50" s="186">
        <f t="shared" si="23"/>
        <v>13344</v>
      </c>
      <c r="AS50" s="186">
        <f t="shared" si="24"/>
        <v>83578</v>
      </c>
      <c r="AU50" s="191">
        <v>69801.286640111357</v>
      </c>
      <c r="AV50" s="182">
        <f t="shared" si="25"/>
        <v>13262.244461621158</v>
      </c>
      <c r="AW50" s="179">
        <f t="shared" si="26"/>
        <v>83063.531101732515</v>
      </c>
      <c r="AY50" s="158">
        <f t="shared" si="27"/>
        <v>6.199217531901253E-3</v>
      </c>
      <c r="AZ50" s="188" t="str">
        <f t="shared" si="28"/>
        <v>AUMENTO</v>
      </c>
      <c r="BA50" s="159"/>
      <c r="BC50" s="177">
        <v>83761.543968133628</v>
      </c>
      <c r="BE50" s="189">
        <f t="shared" si="29"/>
        <v>14047</v>
      </c>
      <c r="BF50" s="190">
        <f t="shared" si="30"/>
        <v>84281</v>
      </c>
      <c r="BG50" s="190">
        <f t="shared" si="31"/>
        <v>84281</v>
      </c>
    </row>
    <row r="51" spans="1:59" s="166" customFormat="1" ht="12" x14ac:dyDescent="0.2">
      <c r="A51" s="172">
        <v>39</v>
      </c>
      <c r="B51" s="173" t="s">
        <v>152</v>
      </c>
      <c r="C51" s="174" t="s">
        <v>3</v>
      </c>
      <c r="D51" s="175">
        <f t="shared" si="7"/>
        <v>120756.3025210084</v>
      </c>
      <c r="E51" s="176">
        <f t="shared" si="8"/>
        <v>22943.697478991595</v>
      </c>
      <c r="F51" s="177">
        <v>143700</v>
      </c>
      <c r="G51" s="175">
        <v>142469.29541047188</v>
      </c>
      <c r="H51" s="178">
        <v>27069.166127989658</v>
      </c>
      <c r="I51" s="179">
        <v>169538.46153846153</v>
      </c>
      <c r="J51" s="180">
        <v>136000</v>
      </c>
      <c r="K51" s="178">
        <f t="shared" si="9"/>
        <v>25840</v>
      </c>
      <c r="L51" s="179">
        <f t="shared" si="10"/>
        <v>161840</v>
      </c>
      <c r="M51" s="181">
        <v>1188000</v>
      </c>
      <c r="N51" s="182">
        <v>225720</v>
      </c>
      <c r="O51" s="179">
        <v>1413720</v>
      </c>
      <c r="P51" s="181">
        <v>400000</v>
      </c>
      <c r="Q51" s="182">
        <v>76000</v>
      </c>
      <c r="R51" s="179">
        <v>476000</v>
      </c>
      <c r="S51" s="181">
        <v>241764.70588235295</v>
      </c>
      <c r="T51" s="182">
        <v>45935.294117647063</v>
      </c>
      <c r="U51" s="179">
        <v>287700</v>
      </c>
      <c r="V51" s="199">
        <v>106050.75633110013</v>
      </c>
      <c r="W51" s="182">
        <f t="shared" si="11"/>
        <v>20149.643702909023</v>
      </c>
      <c r="X51" s="179">
        <f t="shared" si="12"/>
        <v>126200.40003400916</v>
      </c>
      <c r="Y51" s="184"/>
      <c r="Z51" s="177">
        <f t="shared" si="13"/>
        <v>127260.90759732015</v>
      </c>
      <c r="AB51" s="179">
        <f>ROUND(AVERAGE(D51,G51,J51),0)</f>
        <v>133075</v>
      </c>
      <c r="AC51" s="179">
        <f>ROUND(STDEVA(D51,G51,J51),0)</f>
        <v>11148</v>
      </c>
      <c r="AD51" s="158">
        <f t="shared" si="4"/>
        <v>8.3772308848393762E-2</v>
      </c>
      <c r="AE51" s="179">
        <f t="shared" si="5"/>
        <v>121927</v>
      </c>
      <c r="AF51" s="179">
        <f t="shared" si="6"/>
        <v>144223</v>
      </c>
      <c r="AH51" s="179" t="str">
        <f t="shared" si="14"/>
        <v/>
      </c>
      <c r="AI51" s="179">
        <f t="shared" si="15"/>
        <v>142469.29541047188</v>
      </c>
      <c r="AJ51" s="179">
        <f t="shared" si="16"/>
        <v>136000</v>
      </c>
      <c r="AK51" s="179" t="str">
        <f t="shared" si="17"/>
        <v/>
      </c>
      <c r="AL51" s="179" t="str">
        <f t="shared" si="18"/>
        <v/>
      </c>
      <c r="AM51" s="179" t="str">
        <f t="shared" si="19"/>
        <v/>
      </c>
      <c r="AN51" s="179" t="str">
        <f t="shared" si="20"/>
        <v/>
      </c>
      <c r="AO51" s="179">
        <f t="shared" si="21"/>
        <v>139235</v>
      </c>
      <c r="AQ51" s="186">
        <f t="shared" si="22"/>
        <v>139235</v>
      </c>
      <c r="AR51" s="186">
        <f t="shared" si="23"/>
        <v>26455</v>
      </c>
      <c r="AS51" s="186">
        <f t="shared" si="24"/>
        <v>165690</v>
      </c>
      <c r="AU51" s="191">
        <v>106050.75633110013</v>
      </c>
      <c r="AV51" s="182">
        <f t="shared" si="25"/>
        <v>20149.643702909023</v>
      </c>
      <c r="AW51" s="179">
        <f t="shared" si="26"/>
        <v>126200.40003400916</v>
      </c>
      <c r="AY51" s="158">
        <f t="shared" si="27"/>
        <v>0.31290907124976686</v>
      </c>
      <c r="AZ51" s="188" t="str">
        <f t="shared" si="28"/>
        <v>AUMENTO</v>
      </c>
      <c r="BA51" s="159"/>
      <c r="BC51" s="177">
        <v>127260.90759732015</v>
      </c>
      <c r="BE51" s="189">
        <f t="shared" si="29"/>
        <v>27847</v>
      </c>
      <c r="BF51" s="190">
        <f t="shared" si="30"/>
        <v>167082</v>
      </c>
      <c r="BG51" s="190">
        <f t="shared" si="31"/>
        <v>167082</v>
      </c>
    </row>
    <row r="52" spans="1:59" s="166" customFormat="1" ht="12" x14ac:dyDescent="0.2">
      <c r="A52" s="172">
        <v>40</v>
      </c>
      <c r="B52" s="173" t="s">
        <v>153</v>
      </c>
      <c r="C52" s="174" t="s">
        <v>3</v>
      </c>
      <c r="D52" s="175">
        <f t="shared" si="7"/>
        <v>56722.689075630253</v>
      </c>
      <c r="E52" s="176">
        <f t="shared" si="8"/>
        <v>10777.310924369749</v>
      </c>
      <c r="F52" s="177">
        <v>67500</v>
      </c>
      <c r="G52" s="175">
        <v>54169.360051712996</v>
      </c>
      <c r="H52" s="178">
        <v>10292.17840982547</v>
      </c>
      <c r="I52" s="179">
        <v>64461.538461538468</v>
      </c>
      <c r="J52" s="192">
        <v>70666.666666666672</v>
      </c>
      <c r="K52" s="178">
        <f t="shared" si="9"/>
        <v>13426.666666666668</v>
      </c>
      <c r="L52" s="179">
        <f t="shared" si="10"/>
        <v>84093.333333333343</v>
      </c>
      <c r="M52" s="181">
        <v>135000</v>
      </c>
      <c r="N52" s="198">
        <v>25650</v>
      </c>
      <c r="O52" s="181">
        <v>160650</v>
      </c>
      <c r="P52" s="181">
        <v>104034</v>
      </c>
      <c r="Q52" s="198">
        <v>19766.46</v>
      </c>
      <c r="R52" s="181">
        <v>123800.45999999999</v>
      </c>
      <c r="S52" s="181">
        <v>156050.42016806724</v>
      </c>
      <c r="T52" s="182">
        <v>29649.579831932777</v>
      </c>
      <c r="U52" s="179">
        <v>185700.00000000003</v>
      </c>
      <c r="V52" s="191">
        <v>42820.545956974311</v>
      </c>
      <c r="W52" s="182">
        <f t="shared" si="11"/>
        <v>8135.9037318251185</v>
      </c>
      <c r="X52" s="179">
        <f t="shared" si="12"/>
        <v>50956.449688799432</v>
      </c>
      <c r="Y52" s="184"/>
      <c r="Z52" s="177">
        <f t="shared" si="13"/>
        <v>51384.655148369173</v>
      </c>
      <c r="AB52" s="179">
        <f>ROUND(AVERAGE(D52,G52,V52),0)</f>
        <v>51238</v>
      </c>
      <c r="AC52" s="179">
        <f>ROUND(STDEVA(D52,G52,V52),0)</f>
        <v>7400</v>
      </c>
      <c r="AD52" s="158">
        <f t="shared" si="4"/>
        <v>0.14442406026777002</v>
      </c>
      <c r="AE52" s="179">
        <f t="shared" si="5"/>
        <v>43838</v>
      </c>
      <c r="AF52" s="179">
        <f t="shared" si="6"/>
        <v>58638</v>
      </c>
      <c r="AH52" s="179">
        <f t="shared" si="14"/>
        <v>56722.689075630253</v>
      </c>
      <c r="AI52" s="179">
        <f t="shared" si="15"/>
        <v>54169.360051712996</v>
      </c>
      <c r="AJ52" s="179" t="str">
        <f t="shared" si="16"/>
        <v/>
      </c>
      <c r="AK52" s="179" t="str">
        <f t="shared" si="17"/>
        <v/>
      </c>
      <c r="AL52" s="179" t="str">
        <f t="shared" si="18"/>
        <v/>
      </c>
      <c r="AM52" s="179" t="str">
        <f t="shared" si="19"/>
        <v/>
      </c>
      <c r="AN52" s="179" t="str">
        <f t="shared" si="20"/>
        <v/>
      </c>
      <c r="AO52" s="179">
        <f t="shared" si="21"/>
        <v>55446</v>
      </c>
      <c r="AQ52" s="186">
        <f t="shared" si="22"/>
        <v>55446</v>
      </c>
      <c r="AR52" s="186">
        <f t="shared" si="23"/>
        <v>10535</v>
      </c>
      <c r="AS52" s="186">
        <f t="shared" si="24"/>
        <v>65981</v>
      </c>
      <c r="AU52" s="191">
        <v>42820.545956974311</v>
      </c>
      <c r="AV52" s="182">
        <f t="shared" si="25"/>
        <v>8135.9037318251185</v>
      </c>
      <c r="AW52" s="179">
        <f t="shared" si="26"/>
        <v>50956.449688799432</v>
      </c>
      <c r="AY52" s="158">
        <f t="shared" si="27"/>
        <v>0.2948457045762945</v>
      </c>
      <c r="AZ52" s="188" t="str">
        <f t="shared" si="28"/>
        <v>AUMENTO</v>
      </c>
      <c r="BA52" s="159"/>
      <c r="BC52" s="177">
        <v>51384.655148369173</v>
      </c>
      <c r="BE52" s="189">
        <f t="shared" si="29"/>
        <v>11089</v>
      </c>
      <c r="BF52" s="190">
        <f t="shared" si="30"/>
        <v>66535</v>
      </c>
      <c r="BG52" s="190">
        <f t="shared" si="31"/>
        <v>66535</v>
      </c>
    </row>
    <row r="53" spans="1:59" s="166" customFormat="1" ht="12" x14ac:dyDescent="0.2">
      <c r="A53" s="172">
        <v>41</v>
      </c>
      <c r="B53" s="173" t="s">
        <v>154</v>
      </c>
      <c r="C53" s="174" t="s">
        <v>237</v>
      </c>
      <c r="D53" s="175">
        <f t="shared" si="7"/>
        <v>11974.789915966387</v>
      </c>
      <c r="E53" s="176">
        <f t="shared" si="8"/>
        <v>2275.2100840336134</v>
      </c>
      <c r="F53" s="177">
        <v>14250</v>
      </c>
      <c r="G53" s="175">
        <v>12798.965740142212</v>
      </c>
      <c r="H53" s="178">
        <v>2431.8034906270204</v>
      </c>
      <c r="I53" s="179">
        <v>15230.769230769232</v>
      </c>
      <c r="J53" s="180">
        <v>13066.666666666666</v>
      </c>
      <c r="K53" s="178">
        <f t="shared" si="9"/>
        <v>2482.6666666666665</v>
      </c>
      <c r="L53" s="179">
        <f t="shared" si="10"/>
        <v>15549.333333333332</v>
      </c>
      <c r="M53" s="181">
        <v>30000</v>
      </c>
      <c r="N53" s="182">
        <v>5700</v>
      </c>
      <c r="O53" s="179">
        <v>35700</v>
      </c>
      <c r="P53" s="175">
        <v>16639</v>
      </c>
      <c r="Q53" s="182">
        <v>3161.41</v>
      </c>
      <c r="R53" s="179">
        <v>19800.41</v>
      </c>
      <c r="S53" s="181">
        <v>24957.983193277312</v>
      </c>
      <c r="T53" s="182">
        <v>4742.0168067226896</v>
      </c>
      <c r="U53" s="179">
        <v>29700</v>
      </c>
      <c r="V53" s="191">
        <v>9617.1494783864891</v>
      </c>
      <c r="W53" s="182">
        <f t="shared" si="11"/>
        <v>1827.2584008934327</v>
      </c>
      <c r="X53" s="179">
        <f t="shared" si="12"/>
        <v>11444.407879279923</v>
      </c>
      <c r="Y53" s="184"/>
      <c r="Z53" s="177">
        <f t="shared" si="13"/>
        <v>11540.579374063787</v>
      </c>
      <c r="AB53" s="179">
        <f>ROUND(AVERAGE(D53,G53,J53,P53,V53),0)</f>
        <v>12819</v>
      </c>
      <c r="AC53" s="179">
        <f>ROUND(STDEVA(D53,G53,J53,P53,V53),0)</f>
        <v>2531</v>
      </c>
      <c r="AD53" s="158">
        <f t="shared" si="4"/>
        <v>0.19744129807317262</v>
      </c>
      <c r="AE53" s="179">
        <f t="shared" si="5"/>
        <v>10288</v>
      </c>
      <c r="AF53" s="179">
        <f t="shared" si="6"/>
        <v>15350</v>
      </c>
      <c r="AH53" s="179">
        <f t="shared" si="14"/>
        <v>11974.789915966387</v>
      </c>
      <c r="AI53" s="179">
        <f t="shared" si="15"/>
        <v>12798.965740142212</v>
      </c>
      <c r="AJ53" s="179">
        <f t="shared" si="16"/>
        <v>13066.666666666666</v>
      </c>
      <c r="AK53" s="179" t="str">
        <f t="shared" si="17"/>
        <v/>
      </c>
      <c r="AL53" s="179" t="str">
        <f t="shared" si="18"/>
        <v/>
      </c>
      <c r="AM53" s="179" t="str">
        <f t="shared" si="19"/>
        <v/>
      </c>
      <c r="AN53" s="179" t="str">
        <f t="shared" si="20"/>
        <v/>
      </c>
      <c r="AO53" s="179">
        <f t="shared" si="21"/>
        <v>12613</v>
      </c>
      <c r="AQ53" s="186">
        <f t="shared" si="22"/>
        <v>12613</v>
      </c>
      <c r="AR53" s="186">
        <f t="shared" si="23"/>
        <v>2396</v>
      </c>
      <c r="AS53" s="186">
        <f t="shared" si="24"/>
        <v>15009</v>
      </c>
      <c r="AU53" s="191">
        <v>9617.1494783864891</v>
      </c>
      <c r="AV53" s="182">
        <f t="shared" si="25"/>
        <v>1827.2584008934327</v>
      </c>
      <c r="AW53" s="179">
        <f t="shared" si="26"/>
        <v>11444.407879279923</v>
      </c>
      <c r="AY53" s="158">
        <f t="shared" si="27"/>
        <v>0.31151127767602688</v>
      </c>
      <c r="AZ53" s="188" t="str">
        <f t="shared" si="28"/>
        <v>AUMENTO</v>
      </c>
      <c r="BA53" s="159"/>
      <c r="BC53" s="177">
        <v>11540.579374063787</v>
      </c>
      <c r="BE53" s="189">
        <f t="shared" si="29"/>
        <v>2523</v>
      </c>
      <c r="BF53" s="190">
        <f t="shared" si="30"/>
        <v>15136</v>
      </c>
      <c r="BG53" s="190">
        <f t="shared" si="31"/>
        <v>15136</v>
      </c>
    </row>
    <row r="54" spans="1:59" s="166" customFormat="1" ht="12" x14ac:dyDescent="0.2">
      <c r="A54" s="172">
        <v>42</v>
      </c>
      <c r="B54" s="173" t="s">
        <v>155</v>
      </c>
      <c r="C54" s="174" t="s">
        <v>3</v>
      </c>
      <c r="D54" s="175">
        <f t="shared" si="7"/>
        <v>14936.974789915967</v>
      </c>
      <c r="E54" s="176">
        <f t="shared" si="8"/>
        <v>2838.0252100840335</v>
      </c>
      <c r="F54" s="177">
        <v>17775</v>
      </c>
      <c r="G54" s="175">
        <v>15901.745313510019</v>
      </c>
      <c r="H54" s="178">
        <v>3021.3316095669034</v>
      </c>
      <c r="I54" s="179">
        <v>18923.076923076922</v>
      </c>
      <c r="J54" s="180">
        <v>15333.333333333334</v>
      </c>
      <c r="K54" s="178">
        <f t="shared" si="9"/>
        <v>2913.3333333333339</v>
      </c>
      <c r="L54" s="179">
        <f t="shared" si="10"/>
        <v>18246.666666666668</v>
      </c>
      <c r="M54" s="181">
        <v>36000</v>
      </c>
      <c r="N54" s="182">
        <v>6840</v>
      </c>
      <c r="O54" s="179">
        <v>42840</v>
      </c>
      <c r="P54" s="181">
        <v>19916</v>
      </c>
      <c r="Q54" s="182">
        <v>3784.04</v>
      </c>
      <c r="R54" s="179">
        <v>23700.04</v>
      </c>
      <c r="S54" s="181">
        <v>29873.949579831933</v>
      </c>
      <c r="T54" s="182">
        <v>5676.0504201680669</v>
      </c>
      <c r="U54" s="179">
        <v>35550</v>
      </c>
      <c r="V54" s="191">
        <v>12247.665783579161</v>
      </c>
      <c r="W54" s="182">
        <f t="shared" si="11"/>
        <v>2327.0564988800406</v>
      </c>
      <c r="X54" s="179">
        <f t="shared" si="12"/>
        <v>14574.722282459203</v>
      </c>
      <c r="Y54" s="184"/>
      <c r="Z54" s="177">
        <f t="shared" si="13"/>
        <v>14697.198940294993</v>
      </c>
      <c r="AB54" s="179">
        <f>ROUND(AVERAGE(D54,G54,J54,V54),0)</f>
        <v>14605</v>
      </c>
      <c r="AC54" s="179">
        <f>ROUND(STDEVA(D54,G54,J54,V54),0)</f>
        <v>1621</v>
      </c>
      <c r="AD54" s="158">
        <f t="shared" si="4"/>
        <v>0.1109893871961657</v>
      </c>
      <c r="AE54" s="179">
        <f t="shared" si="5"/>
        <v>12984</v>
      </c>
      <c r="AF54" s="179">
        <f t="shared" si="6"/>
        <v>16226</v>
      </c>
      <c r="AH54" s="179">
        <f t="shared" si="14"/>
        <v>14936.974789915967</v>
      </c>
      <c r="AI54" s="179">
        <f t="shared" si="15"/>
        <v>15901.745313510019</v>
      </c>
      <c r="AJ54" s="179">
        <f t="shared" si="16"/>
        <v>15333.333333333334</v>
      </c>
      <c r="AK54" s="179" t="str">
        <f t="shared" si="17"/>
        <v/>
      </c>
      <c r="AL54" s="179" t="str">
        <f t="shared" si="18"/>
        <v/>
      </c>
      <c r="AM54" s="179" t="str">
        <f t="shared" si="19"/>
        <v/>
      </c>
      <c r="AN54" s="179" t="str">
        <f t="shared" si="20"/>
        <v/>
      </c>
      <c r="AO54" s="179">
        <f t="shared" si="21"/>
        <v>15391</v>
      </c>
      <c r="AQ54" s="186">
        <f t="shared" si="22"/>
        <v>15391</v>
      </c>
      <c r="AR54" s="186">
        <f t="shared" si="23"/>
        <v>2924</v>
      </c>
      <c r="AS54" s="186">
        <f t="shared" si="24"/>
        <v>18315</v>
      </c>
      <c r="AU54" s="191">
        <v>12247.665783579161</v>
      </c>
      <c r="AV54" s="182">
        <f t="shared" si="25"/>
        <v>2327.0564988800406</v>
      </c>
      <c r="AW54" s="179">
        <f t="shared" si="26"/>
        <v>14574.722282459203</v>
      </c>
      <c r="AY54" s="158">
        <f t="shared" si="27"/>
        <v>0.25664761530602903</v>
      </c>
      <c r="AZ54" s="188" t="str">
        <f t="shared" si="28"/>
        <v>AUMENTO</v>
      </c>
      <c r="BA54" s="159"/>
      <c r="BC54" s="177">
        <v>14697.198940294993</v>
      </c>
      <c r="BE54" s="189">
        <f t="shared" si="29"/>
        <v>3078</v>
      </c>
      <c r="BF54" s="190">
        <f t="shared" si="30"/>
        <v>18469</v>
      </c>
      <c r="BG54" s="190">
        <f t="shared" si="31"/>
        <v>18469</v>
      </c>
    </row>
    <row r="55" spans="1:59" s="166" customFormat="1" ht="12" x14ac:dyDescent="0.2">
      <c r="A55" s="172">
        <v>43</v>
      </c>
      <c r="B55" s="173" t="s">
        <v>156</v>
      </c>
      <c r="C55" s="174" t="s">
        <v>10</v>
      </c>
      <c r="D55" s="175">
        <f t="shared" si="7"/>
        <v>9453.7815126050427</v>
      </c>
      <c r="E55" s="176">
        <f t="shared" si="8"/>
        <v>1796.2184873949582</v>
      </c>
      <c r="F55" s="177">
        <v>11250</v>
      </c>
      <c r="G55" s="175">
        <v>16987.718164188751</v>
      </c>
      <c r="H55" s="178">
        <v>3227.6664511958629</v>
      </c>
      <c r="I55" s="179">
        <v>20215.384615384613</v>
      </c>
      <c r="J55" s="192">
        <v>6800</v>
      </c>
      <c r="K55" s="197">
        <f t="shared" si="9"/>
        <v>1292</v>
      </c>
      <c r="L55" s="181">
        <f t="shared" si="10"/>
        <v>8092</v>
      </c>
      <c r="M55" s="181">
        <v>59400</v>
      </c>
      <c r="N55" s="198">
        <v>11286</v>
      </c>
      <c r="O55" s="181">
        <v>70686</v>
      </c>
      <c r="P55" s="181">
        <v>26000</v>
      </c>
      <c r="Q55" s="182">
        <v>4940</v>
      </c>
      <c r="R55" s="179">
        <v>30940</v>
      </c>
      <c r="S55" s="175">
        <v>13613.44537815126</v>
      </c>
      <c r="T55" s="182">
        <v>2586.5546218487393</v>
      </c>
      <c r="U55" s="179">
        <v>16200</v>
      </c>
      <c r="V55" s="191">
        <v>13270.611324197576</v>
      </c>
      <c r="W55" s="182">
        <f t="shared" si="11"/>
        <v>2521.4161515975393</v>
      </c>
      <c r="X55" s="179">
        <f t="shared" si="12"/>
        <v>15792.027475795116</v>
      </c>
      <c r="Y55" s="184"/>
      <c r="Z55" s="177">
        <f t="shared" si="13"/>
        <v>15924.73358903709</v>
      </c>
      <c r="AB55" s="179">
        <f>ROUND(AVERAGE(D55,G55,S55,V55),0)</f>
        <v>13331</v>
      </c>
      <c r="AC55" s="179">
        <f>ROUND(STDEVA(D55,G55,S55,V55),0)</f>
        <v>3082</v>
      </c>
      <c r="AD55" s="158">
        <f t="shared" si="4"/>
        <v>0.23119045833020779</v>
      </c>
      <c r="AE55" s="179">
        <f t="shared" si="5"/>
        <v>10249</v>
      </c>
      <c r="AF55" s="179">
        <f t="shared" si="6"/>
        <v>16413</v>
      </c>
      <c r="AH55" s="179" t="str">
        <f t="shared" si="14"/>
        <v/>
      </c>
      <c r="AI55" s="179" t="str">
        <f t="shared" si="15"/>
        <v/>
      </c>
      <c r="AJ55" s="179" t="str">
        <f t="shared" si="16"/>
        <v/>
      </c>
      <c r="AK55" s="179" t="str">
        <f t="shared" si="17"/>
        <v/>
      </c>
      <c r="AL55" s="179" t="str">
        <f t="shared" si="18"/>
        <v/>
      </c>
      <c r="AM55" s="179">
        <f t="shared" si="19"/>
        <v>13613.44537815126</v>
      </c>
      <c r="AN55" s="179">
        <f t="shared" si="20"/>
        <v>13270.611324197576</v>
      </c>
      <c r="AO55" s="179">
        <f t="shared" si="21"/>
        <v>13442</v>
      </c>
      <c r="AQ55" s="186">
        <f t="shared" si="22"/>
        <v>13442</v>
      </c>
      <c r="AR55" s="186">
        <f t="shared" si="23"/>
        <v>2554</v>
      </c>
      <c r="AS55" s="186">
        <f t="shared" si="24"/>
        <v>15996</v>
      </c>
      <c r="AU55" s="191">
        <v>13270.611324197576</v>
      </c>
      <c r="AV55" s="182">
        <f t="shared" si="25"/>
        <v>2521.4161515975393</v>
      </c>
      <c r="AW55" s="179">
        <f t="shared" si="26"/>
        <v>15792.027475795116</v>
      </c>
      <c r="AY55" s="158">
        <f t="shared" si="27"/>
        <v>1.2914904341287902E-2</v>
      </c>
      <c r="AZ55" s="188" t="str">
        <f t="shared" si="28"/>
        <v>AUMENTO</v>
      </c>
      <c r="BA55" s="159"/>
      <c r="BC55" s="177">
        <v>15924.73358903709</v>
      </c>
      <c r="BE55" s="189">
        <f t="shared" si="29"/>
        <v>2688</v>
      </c>
      <c r="BF55" s="190">
        <f t="shared" si="30"/>
        <v>16130</v>
      </c>
      <c r="BG55" s="190">
        <f t="shared" si="31"/>
        <v>16130</v>
      </c>
    </row>
    <row r="56" spans="1:59" s="166" customFormat="1" ht="12" x14ac:dyDescent="0.2">
      <c r="A56" s="172">
        <v>44</v>
      </c>
      <c r="B56" s="173" t="s">
        <v>157</v>
      </c>
      <c r="C56" s="174" t="s">
        <v>22</v>
      </c>
      <c r="D56" s="181">
        <f t="shared" si="7"/>
        <v>79285.71428571429</v>
      </c>
      <c r="E56" s="176">
        <f t="shared" si="8"/>
        <v>15064.285714285716</v>
      </c>
      <c r="F56" s="177">
        <v>94350</v>
      </c>
      <c r="G56" s="175">
        <v>141809.95475113124</v>
      </c>
      <c r="H56" s="178">
        <v>26943.891402714937</v>
      </c>
      <c r="I56" s="179">
        <v>168753.84615384619</v>
      </c>
      <c r="J56" s="180">
        <v>122666.66666666667</v>
      </c>
      <c r="K56" s="178">
        <f t="shared" si="9"/>
        <v>23306.666666666672</v>
      </c>
      <c r="L56" s="179">
        <f t="shared" si="10"/>
        <v>145973.33333333334</v>
      </c>
      <c r="M56" s="181">
        <v>330000</v>
      </c>
      <c r="N56" s="198">
        <v>62700</v>
      </c>
      <c r="O56" s="181">
        <v>392700</v>
      </c>
      <c r="P56" s="181">
        <v>184706</v>
      </c>
      <c r="Q56" s="198">
        <v>35094.14</v>
      </c>
      <c r="R56" s="181">
        <v>219800.14</v>
      </c>
      <c r="S56" s="181">
        <v>277058.82352941181</v>
      </c>
      <c r="T56" s="182">
        <v>52641.176470588245</v>
      </c>
      <c r="U56" s="179">
        <v>329700.00000000006</v>
      </c>
      <c r="V56" s="191">
        <v>117025.87245065458</v>
      </c>
      <c r="W56" s="182">
        <f t="shared" si="11"/>
        <v>22234.915765624373</v>
      </c>
      <c r="X56" s="179">
        <f t="shared" si="12"/>
        <v>139260.78821627895</v>
      </c>
      <c r="Y56" s="184"/>
      <c r="Z56" s="177">
        <f t="shared" si="13"/>
        <v>140431.04694078548</v>
      </c>
      <c r="AB56" s="179">
        <f>ROUND(AVERAGE(G56,J56,V56),0)</f>
        <v>127167</v>
      </c>
      <c r="AC56" s="179">
        <f>ROUND(STDEVA(G56,J56,V56),0)</f>
        <v>12991</v>
      </c>
      <c r="AD56" s="158">
        <f t="shared" si="4"/>
        <v>0.10215700614153043</v>
      </c>
      <c r="AE56" s="179">
        <f t="shared" si="5"/>
        <v>114176</v>
      </c>
      <c r="AF56" s="179">
        <f t="shared" si="6"/>
        <v>140158</v>
      </c>
      <c r="AH56" s="179" t="str">
        <f t="shared" si="14"/>
        <v/>
      </c>
      <c r="AI56" s="179" t="str">
        <f t="shared" si="15"/>
        <v/>
      </c>
      <c r="AJ56" s="179">
        <f t="shared" si="16"/>
        <v>122666.66666666667</v>
      </c>
      <c r="AK56" s="179" t="str">
        <f t="shared" si="17"/>
        <v/>
      </c>
      <c r="AL56" s="179" t="str">
        <f t="shared" si="18"/>
        <v/>
      </c>
      <c r="AM56" s="179" t="str">
        <f t="shared" si="19"/>
        <v/>
      </c>
      <c r="AN56" s="179">
        <f t="shared" si="20"/>
        <v>117025.87245065458</v>
      </c>
      <c r="AO56" s="179">
        <f t="shared" si="21"/>
        <v>119846</v>
      </c>
      <c r="AQ56" s="186">
        <f t="shared" si="22"/>
        <v>119846</v>
      </c>
      <c r="AR56" s="186">
        <f t="shared" si="23"/>
        <v>22771</v>
      </c>
      <c r="AS56" s="186">
        <f t="shared" si="24"/>
        <v>142617</v>
      </c>
      <c r="AU56" s="191">
        <v>117025.87245065458</v>
      </c>
      <c r="AV56" s="182">
        <f t="shared" si="25"/>
        <v>22234.915765624373</v>
      </c>
      <c r="AW56" s="179">
        <f t="shared" si="26"/>
        <v>139260.78821627895</v>
      </c>
      <c r="AY56" s="158">
        <f t="shared" si="27"/>
        <v>2.4098325355656355E-2</v>
      </c>
      <c r="AZ56" s="188" t="str">
        <f t="shared" si="28"/>
        <v>AUMENTO</v>
      </c>
      <c r="BA56" s="159"/>
      <c r="BC56" s="177">
        <v>140431.04694078548</v>
      </c>
      <c r="BE56" s="189">
        <f t="shared" si="29"/>
        <v>23969</v>
      </c>
      <c r="BF56" s="190">
        <f t="shared" si="30"/>
        <v>143815</v>
      </c>
      <c r="BG56" s="190">
        <f t="shared" si="31"/>
        <v>143815</v>
      </c>
    </row>
    <row r="57" spans="1:59" s="166" customFormat="1" ht="12" x14ac:dyDescent="0.2">
      <c r="A57" s="172">
        <v>45</v>
      </c>
      <c r="B57" s="173" t="s">
        <v>217</v>
      </c>
      <c r="C57" s="174" t="s">
        <v>3</v>
      </c>
      <c r="D57" s="181">
        <f t="shared" si="7"/>
        <v>28865.546218487398</v>
      </c>
      <c r="E57" s="176">
        <f t="shared" si="8"/>
        <v>5484.4537815126059</v>
      </c>
      <c r="F57" s="177">
        <v>34350</v>
      </c>
      <c r="G57" s="175">
        <v>116224.95151906917</v>
      </c>
      <c r="H57" s="178">
        <v>22082.740788623145</v>
      </c>
      <c r="I57" s="179">
        <v>138307.69230769231</v>
      </c>
      <c r="J57" s="180">
        <v>106666.66666666667</v>
      </c>
      <c r="K57" s="178">
        <f t="shared" si="9"/>
        <v>20266.666666666668</v>
      </c>
      <c r="L57" s="179">
        <f t="shared" si="10"/>
        <v>126933.33333333334</v>
      </c>
      <c r="M57" s="181">
        <v>362700</v>
      </c>
      <c r="N57" s="182">
        <v>68913</v>
      </c>
      <c r="O57" s="179">
        <v>431613</v>
      </c>
      <c r="P57" s="175">
        <v>91800</v>
      </c>
      <c r="Q57" s="182">
        <v>17442</v>
      </c>
      <c r="R57" s="179">
        <v>109242</v>
      </c>
      <c r="S57" s="181">
        <v>307310.92436974793</v>
      </c>
      <c r="T57" s="182">
        <v>58389.075630252104</v>
      </c>
      <c r="U57" s="179">
        <v>365700</v>
      </c>
      <c r="V57" s="199">
        <v>29687.036113430633</v>
      </c>
      <c r="W57" s="182">
        <f t="shared" si="11"/>
        <v>5640.5368615518209</v>
      </c>
      <c r="X57" s="179">
        <f t="shared" si="12"/>
        <v>35327.572974982453</v>
      </c>
      <c r="Y57" s="184"/>
      <c r="Z57" s="177">
        <f t="shared" si="13"/>
        <v>35624.443336116761</v>
      </c>
      <c r="AB57" s="179">
        <f>ROUND(AVERAGE(G57,J57,P57),0)</f>
        <v>104897</v>
      </c>
      <c r="AC57" s="179">
        <f>ROUND(STDEVA(G57,J57,P57),0)</f>
        <v>12308</v>
      </c>
      <c r="AD57" s="158">
        <f t="shared" si="4"/>
        <v>0.11733414682974727</v>
      </c>
      <c r="AE57" s="179">
        <f t="shared" si="5"/>
        <v>92589</v>
      </c>
      <c r="AF57" s="179">
        <f t="shared" si="6"/>
        <v>117205</v>
      </c>
      <c r="AH57" s="179" t="str">
        <f t="shared" si="14"/>
        <v/>
      </c>
      <c r="AI57" s="179">
        <f t="shared" si="15"/>
        <v>116224.95151906917</v>
      </c>
      <c r="AJ57" s="179">
        <f t="shared" si="16"/>
        <v>106666.66666666667</v>
      </c>
      <c r="AK57" s="179" t="str">
        <f t="shared" si="17"/>
        <v/>
      </c>
      <c r="AL57" s="179" t="str">
        <f t="shared" si="18"/>
        <v/>
      </c>
      <c r="AM57" s="179" t="str">
        <f t="shared" si="19"/>
        <v/>
      </c>
      <c r="AN57" s="179" t="str">
        <f t="shared" si="20"/>
        <v/>
      </c>
      <c r="AO57" s="179">
        <f t="shared" si="21"/>
        <v>111446</v>
      </c>
      <c r="AQ57" s="186">
        <f t="shared" si="22"/>
        <v>111446</v>
      </c>
      <c r="AR57" s="186">
        <f t="shared" si="23"/>
        <v>21175</v>
      </c>
      <c r="AS57" s="186">
        <f t="shared" si="24"/>
        <v>132621</v>
      </c>
      <c r="AU57" s="191">
        <v>29687.036113430633</v>
      </c>
      <c r="AV57" s="182">
        <f t="shared" si="25"/>
        <v>5640.5368615518209</v>
      </c>
      <c r="AW57" s="179">
        <f t="shared" si="26"/>
        <v>35327.572974982453</v>
      </c>
      <c r="AY57" s="158">
        <f t="shared" si="27"/>
        <v>2.7540291854726791</v>
      </c>
      <c r="AZ57" s="188" t="str">
        <f t="shared" si="28"/>
        <v>AUMENTO</v>
      </c>
      <c r="BA57" s="159"/>
      <c r="BC57" s="177">
        <v>35624.443336116761</v>
      </c>
      <c r="BE57" s="189">
        <f t="shared" si="29"/>
        <v>22289</v>
      </c>
      <c r="BF57" s="190">
        <f t="shared" si="30"/>
        <v>133735</v>
      </c>
      <c r="BG57" s="190">
        <f t="shared" si="31"/>
        <v>133735</v>
      </c>
    </row>
    <row r="58" spans="1:59" s="166" customFormat="1" ht="24" x14ac:dyDescent="0.2">
      <c r="A58" s="196">
        <v>46</v>
      </c>
      <c r="B58" s="173" t="s">
        <v>160</v>
      </c>
      <c r="C58" s="174" t="s">
        <v>3</v>
      </c>
      <c r="D58" s="175">
        <f t="shared" si="7"/>
        <v>44117.647058823532</v>
      </c>
      <c r="E58" s="176">
        <f t="shared" si="8"/>
        <v>8382.3529411764703</v>
      </c>
      <c r="F58" s="177">
        <v>52500</v>
      </c>
      <c r="G58" s="181">
        <v>72268.907563025219</v>
      </c>
      <c r="H58" s="178">
        <v>13731.092436974792</v>
      </c>
      <c r="I58" s="179">
        <v>86000.000000000015</v>
      </c>
      <c r="J58" s="180">
        <v>51333.333333333336</v>
      </c>
      <c r="K58" s="178">
        <f t="shared" si="9"/>
        <v>9753.3333333333339</v>
      </c>
      <c r="L58" s="179">
        <f t="shared" si="10"/>
        <v>61086.666666666672</v>
      </c>
      <c r="M58" s="181">
        <v>167700</v>
      </c>
      <c r="N58" s="182">
        <v>31863</v>
      </c>
      <c r="O58" s="179">
        <v>199563</v>
      </c>
      <c r="P58" s="181">
        <v>93950</v>
      </c>
      <c r="Q58" s="182">
        <v>17850.5</v>
      </c>
      <c r="R58" s="179">
        <v>111800.5</v>
      </c>
      <c r="S58" s="181">
        <v>103109.243697479</v>
      </c>
      <c r="T58" s="182">
        <v>19590.756302521011</v>
      </c>
      <c r="U58" s="179">
        <v>122700.00000000001</v>
      </c>
      <c r="V58" s="191">
        <v>48347.481076676806</v>
      </c>
      <c r="W58" s="182">
        <f t="shared" si="11"/>
        <v>9186.0214045685934</v>
      </c>
      <c r="X58" s="179">
        <f t="shared" si="12"/>
        <v>57533.502481245399</v>
      </c>
      <c r="Y58" s="184"/>
      <c r="Z58" s="177">
        <f t="shared" si="13"/>
        <v>58016.977292012169</v>
      </c>
      <c r="AB58" s="179">
        <f>ROUND(AVERAGE(D58,J58,V58),0)</f>
        <v>47933</v>
      </c>
      <c r="AC58" s="179">
        <f>ROUND(STDEVA(D58,J58,V58),0)</f>
        <v>3626</v>
      </c>
      <c r="AD58" s="158">
        <f t="shared" si="4"/>
        <v>7.5647257630442499E-2</v>
      </c>
      <c r="AE58" s="179">
        <f t="shared" si="5"/>
        <v>44307</v>
      </c>
      <c r="AF58" s="179">
        <f t="shared" si="6"/>
        <v>51559</v>
      </c>
      <c r="AH58" s="179" t="str">
        <f t="shared" si="14"/>
        <v/>
      </c>
      <c r="AI58" s="179" t="str">
        <f t="shared" si="15"/>
        <v/>
      </c>
      <c r="AJ58" s="179">
        <f t="shared" si="16"/>
        <v>51333.333333333336</v>
      </c>
      <c r="AK58" s="179" t="str">
        <f t="shared" si="17"/>
        <v/>
      </c>
      <c r="AL58" s="179" t="str">
        <f t="shared" si="18"/>
        <v/>
      </c>
      <c r="AM58" s="179" t="str">
        <f t="shared" si="19"/>
        <v/>
      </c>
      <c r="AN58" s="179">
        <f t="shared" si="20"/>
        <v>48347.481076676806</v>
      </c>
      <c r="AO58" s="179">
        <f t="shared" si="21"/>
        <v>49840</v>
      </c>
      <c r="AQ58" s="186">
        <f t="shared" si="22"/>
        <v>49840</v>
      </c>
      <c r="AR58" s="186">
        <f t="shared" si="23"/>
        <v>9470</v>
      </c>
      <c r="AS58" s="186">
        <f t="shared" si="24"/>
        <v>59310</v>
      </c>
      <c r="AU58" s="191">
        <v>48347.481076676806</v>
      </c>
      <c r="AV58" s="182">
        <f t="shared" si="25"/>
        <v>9186.0214045685934</v>
      </c>
      <c r="AW58" s="179">
        <f t="shared" si="26"/>
        <v>57533.502481245399</v>
      </c>
      <c r="AY58" s="158">
        <f t="shared" si="27"/>
        <v>3.0870665649698068E-2</v>
      </c>
      <c r="AZ58" s="188" t="str">
        <f t="shared" si="28"/>
        <v>AUMENTO</v>
      </c>
      <c r="BA58" s="159"/>
      <c r="BC58" s="177">
        <v>58016.977292012169</v>
      </c>
      <c r="BE58" s="189">
        <f t="shared" si="29"/>
        <v>9968</v>
      </c>
      <c r="BF58" s="190">
        <f t="shared" si="30"/>
        <v>59808</v>
      </c>
      <c r="BG58" s="190">
        <f t="shared" si="31"/>
        <v>59808</v>
      </c>
    </row>
    <row r="59" spans="1:59" s="166" customFormat="1" ht="24" x14ac:dyDescent="0.2">
      <c r="A59" s="172">
        <v>47</v>
      </c>
      <c r="B59" s="173" t="s">
        <v>161</v>
      </c>
      <c r="C59" s="174" t="s">
        <v>3</v>
      </c>
      <c r="D59" s="175">
        <f t="shared" si="7"/>
        <v>655210.08403361344</v>
      </c>
      <c r="E59" s="176">
        <f t="shared" si="8"/>
        <v>124489.91596638656</v>
      </c>
      <c r="F59" s="177">
        <v>779700</v>
      </c>
      <c r="G59" s="175">
        <v>891919.84486102127</v>
      </c>
      <c r="H59" s="178">
        <v>169464.77052359405</v>
      </c>
      <c r="I59" s="179">
        <v>1061384.6153846153</v>
      </c>
      <c r="J59" s="192">
        <v>573333.33333333337</v>
      </c>
      <c r="K59" s="178">
        <f t="shared" si="9"/>
        <v>108933.33333333334</v>
      </c>
      <c r="L59" s="179">
        <f t="shared" si="10"/>
        <v>682266.66666666674</v>
      </c>
      <c r="M59" s="185">
        <v>1557900</v>
      </c>
      <c r="N59" s="202">
        <v>296001</v>
      </c>
      <c r="O59" s="185">
        <v>1853901</v>
      </c>
      <c r="P59" s="185">
        <v>1355800</v>
      </c>
      <c r="Q59" s="202">
        <v>257602</v>
      </c>
      <c r="R59" s="185">
        <v>1613402</v>
      </c>
      <c r="S59" s="185">
        <v>1309033.6134453781</v>
      </c>
      <c r="T59" s="182">
        <v>248716.38655462186</v>
      </c>
      <c r="U59" s="179">
        <v>1557750</v>
      </c>
      <c r="V59" s="191">
        <v>862619.98288579134</v>
      </c>
      <c r="W59" s="182">
        <f t="shared" si="11"/>
        <v>163897.79674830037</v>
      </c>
      <c r="X59" s="179">
        <f t="shared" si="12"/>
        <v>1026517.7796340918</v>
      </c>
      <c r="Y59" s="184"/>
      <c r="Z59" s="177">
        <f t="shared" si="13"/>
        <v>1035143.9794629496</v>
      </c>
      <c r="AB59" s="179">
        <f>ROUND(AVERAGE(D59,G59,V59),0)</f>
        <v>803250</v>
      </c>
      <c r="AC59" s="179">
        <f>ROUND(STDEVA(D59,G59,V59),0)</f>
        <v>129041</v>
      </c>
      <c r="AD59" s="158">
        <f t="shared" si="4"/>
        <v>0.16064861500155617</v>
      </c>
      <c r="AE59" s="179">
        <f t="shared" si="5"/>
        <v>674209</v>
      </c>
      <c r="AF59" s="179">
        <f t="shared" si="6"/>
        <v>932291</v>
      </c>
      <c r="AH59" s="179" t="str">
        <f t="shared" si="14"/>
        <v/>
      </c>
      <c r="AI59" s="179">
        <f t="shared" si="15"/>
        <v>891919.84486102127</v>
      </c>
      <c r="AJ59" s="179" t="str">
        <f t="shared" si="16"/>
        <v/>
      </c>
      <c r="AK59" s="179" t="str">
        <f t="shared" si="17"/>
        <v/>
      </c>
      <c r="AL59" s="179" t="str">
        <f t="shared" si="18"/>
        <v/>
      </c>
      <c r="AM59" s="179" t="str">
        <f t="shared" si="19"/>
        <v/>
      </c>
      <c r="AN59" s="179">
        <f t="shared" si="20"/>
        <v>862619.98288579134</v>
      </c>
      <c r="AO59" s="179">
        <f t="shared" si="21"/>
        <v>877270</v>
      </c>
      <c r="AQ59" s="186">
        <f t="shared" si="22"/>
        <v>877270</v>
      </c>
      <c r="AR59" s="186">
        <f t="shared" si="23"/>
        <v>166681</v>
      </c>
      <c r="AS59" s="186">
        <f t="shared" si="24"/>
        <v>1043951</v>
      </c>
      <c r="AU59" s="191">
        <v>862619.98288579134</v>
      </c>
      <c r="AV59" s="182">
        <f t="shared" si="25"/>
        <v>163897.79674830037</v>
      </c>
      <c r="AW59" s="179">
        <f t="shared" si="26"/>
        <v>1026517.7796340918</v>
      </c>
      <c r="AY59" s="158">
        <f t="shared" si="27"/>
        <v>1.6983164550859107E-2</v>
      </c>
      <c r="AZ59" s="188" t="str">
        <f t="shared" si="28"/>
        <v>AUMENTO</v>
      </c>
      <c r="BA59" s="159"/>
      <c r="BC59" s="177">
        <v>1035143.9794629496</v>
      </c>
      <c r="BE59" s="189">
        <f t="shared" si="29"/>
        <v>175454</v>
      </c>
      <c r="BF59" s="190">
        <f t="shared" si="30"/>
        <v>1052724</v>
      </c>
      <c r="BG59" s="190">
        <f t="shared" si="31"/>
        <v>1052724</v>
      </c>
    </row>
    <row r="60" spans="1:59" s="166" customFormat="1" ht="24" x14ac:dyDescent="0.2">
      <c r="A60" s="172">
        <v>48</v>
      </c>
      <c r="B60" s="173" t="s">
        <v>201</v>
      </c>
      <c r="C60" s="174" t="s">
        <v>69</v>
      </c>
      <c r="D60" s="175">
        <f t="shared" si="7"/>
        <v>63025.210084033613</v>
      </c>
      <c r="E60" s="176">
        <f t="shared" si="8"/>
        <v>11974.789915966387</v>
      </c>
      <c r="F60" s="177">
        <v>75000</v>
      </c>
      <c r="G60" s="175">
        <v>64511.958629605688</v>
      </c>
      <c r="H60" s="178">
        <v>12257.27213962508</v>
      </c>
      <c r="I60" s="179">
        <v>76769.230769230766</v>
      </c>
      <c r="J60" s="180">
        <v>60800</v>
      </c>
      <c r="K60" s="178">
        <f t="shared" si="9"/>
        <v>11552</v>
      </c>
      <c r="L60" s="179">
        <f t="shared" si="10"/>
        <v>72352</v>
      </c>
      <c r="M60" s="181">
        <v>264000</v>
      </c>
      <c r="N60" s="198">
        <v>50160</v>
      </c>
      <c r="O60" s="181">
        <v>314160</v>
      </c>
      <c r="P60" s="181">
        <v>130000</v>
      </c>
      <c r="Q60" s="198">
        <v>24700</v>
      </c>
      <c r="R60" s="181">
        <v>154700</v>
      </c>
      <c r="S60" s="181">
        <v>123839.49579831933</v>
      </c>
      <c r="T60" s="182">
        <v>23529.504201680673</v>
      </c>
      <c r="U60" s="179">
        <v>147369</v>
      </c>
      <c r="V60" s="191">
        <v>60621.87845085968</v>
      </c>
      <c r="W60" s="182">
        <f t="shared" si="11"/>
        <v>11518.15690566334</v>
      </c>
      <c r="X60" s="179">
        <f t="shared" si="12"/>
        <v>72140.035356523018</v>
      </c>
      <c r="Y60" s="184"/>
      <c r="Z60" s="177">
        <f t="shared" si="13"/>
        <v>72746.254141031619</v>
      </c>
      <c r="AB60" s="179">
        <f>ROUND(AVERAGE(D60,G60,J60,V60),0)</f>
        <v>62240</v>
      </c>
      <c r="AC60" s="179">
        <f>ROUND(STDEVA(D60,G60,J60,V60),0)</f>
        <v>1868</v>
      </c>
      <c r="AD60" s="158">
        <f t="shared" si="4"/>
        <v>3.0012853470437018E-2</v>
      </c>
      <c r="AE60" s="179">
        <f t="shared" si="5"/>
        <v>60372</v>
      </c>
      <c r="AF60" s="179">
        <f t="shared" si="6"/>
        <v>64108</v>
      </c>
      <c r="AH60" s="179">
        <f t="shared" si="14"/>
        <v>63025.210084033613</v>
      </c>
      <c r="AI60" s="179" t="str">
        <f t="shared" si="15"/>
        <v/>
      </c>
      <c r="AJ60" s="179">
        <f t="shared" si="16"/>
        <v>60800</v>
      </c>
      <c r="AK60" s="179" t="str">
        <f t="shared" si="17"/>
        <v/>
      </c>
      <c r="AL60" s="179" t="str">
        <f t="shared" si="18"/>
        <v/>
      </c>
      <c r="AM60" s="179" t="str">
        <f t="shared" si="19"/>
        <v/>
      </c>
      <c r="AN60" s="179">
        <f t="shared" si="20"/>
        <v>60621.87845085968</v>
      </c>
      <c r="AO60" s="179">
        <f t="shared" si="21"/>
        <v>61482</v>
      </c>
      <c r="AQ60" s="186">
        <f t="shared" si="22"/>
        <v>61482</v>
      </c>
      <c r="AR60" s="186">
        <f t="shared" si="23"/>
        <v>11682</v>
      </c>
      <c r="AS60" s="186">
        <f t="shared" si="24"/>
        <v>73164</v>
      </c>
      <c r="AU60" s="191">
        <v>60621.87845085968</v>
      </c>
      <c r="AV60" s="182">
        <f t="shared" si="25"/>
        <v>11518.15690566334</v>
      </c>
      <c r="AW60" s="179">
        <f t="shared" si="26"/>
        <v>72140.035356523018</v>
      </c>
      <c r="AY60" s="158">
        <f t="shared" si="27"/>
        <v>1.4188302492763198E-2</v>
      </c>
      <c r="AZ60" s="188" t="str">
        <f t="shared" si="28"/>
        <v>AUMENTO</v>
      </c>
      <c r="BA60" s="159"/>
      <c r="BC60" s="177">
        <v>72746.254141031619</v>
      </c>
      <c r="BE60" s="189">
        <f t="shared" si="29"/>
        <v>12296</v>
      </c>
      <c r="BF60" s="190">
        <f t="shared" si="30"/>
        <v>73778</v>
      </c>
      <c r="BG60" s="190">
        <f t="shared" si="31"/>
        <v>73778</v>
      </c>
    </row>
    <row r="61" spans="1:59" s="166" customFormat="1" ht="12" x14ac:dyDescent="0.2">
      <c r="A61" s="172">
        <v>49</v>
      </c>
      <c r="B61" s="173" t="s">
        <v>163</v>
      </c>
      <c r="C61" s="174" t="s">
        <v>3</v>
      </c>
      <c r="D61" s="181">
        <f t="shared" si="7"/>
        <v>6050.4201680672268</v>
      </c>
      <c r="E61" s="176">
        <f t="shared" si="8"/>
        <v>1149.579831932773</v>
      </c>
      <c r="F61" s="177">
        <v>7200</v>
      </c>
      <c r="G61" s="175">
        <v>19263.089851325145</v>
      </c>
      <c r="H61" s="178">
        <v>3659.9870717517774</v>
      </c>
      <c r="I61" s="179">
        <v>22923.076923076922</v>
      </c>
      <c r="J61" s="180">
        <v>18000</v>
      </c>
      <c r="K61" s="178">
        <f t="shared" si="9"/>
        <v>3420</v>
      </c>
      <c r="L61" s="179">
        <f t="shared" si="10"/>
        <v>21420</v>
      </c>
      <c r="M61" s="181">
        <v>315000</v>
      </c>
      <c r="N61" s="182">
        <v>59850</v>
      </c>
      <c r="O61" s="179">
        <v>374850</v>
      </c>
      <c r="P61" s="175">
        <v>13276</v>
      </c>
      <c r="Q61" s="182">
        <v>2522.44</v>
      </c>
      <c r="R61" s="179">
        <v>15798.44</v>
      </c>
      <c r="S61" s="181">
        <v>35042.016806722691</v>
      </c>
      <c r="T61" s="182">
        <v>6657.9831932773113</v>
      </c>
      <c r="U61" s="179">
        <v>41700</v>
      </c>
      <c r="V61" s="191">
        <v>16131.097126505554</v>
      </c>
      <c r="W61" s="182">
        <f t="shared" si="11"/>
        <v>3064.9084540360554</v>
      </c>
      <c r="X61" s="179">
        <f t="shared" si="12"/>
        <v>19196.005580541609</v>
      </c>
      <c r="Y61" s="184"/>
      <c r="Z61" s="177">
        <f t="shared" si="13"/>
        <v>19357.316551806663</v>
      </c>
      <c r="AB61" s="179">
        <f>ROUND(AVERAGE(G61,J61,P61,V61),0)</f>
        <v>16668</v>
      </c>
      <c r="AC61" s="179">
        <f>ROUND(STDEVA(G61,J61,P61,V61),0)</f>
        <v>2601</v>
      </c>
      <c r="AD61" s="158">
        <f t="shared" si="4"/>
        <v>0.15604751619870411</v>
      </c>
      <c r="AE61" s="179">
        <f t="shared" si="5"/>
        <v>14067</v>
      </c>
      <c r="AF61" s="179">
        <f t="shared" si="6"/>
        <v>19269</v>
      </c>
      <c r="AH61" s="179" t="str">
        <f t="shared" si="14"/>
        <v/>
      </c>
      <c r="AI61" s="179">
        <f t="shared" si="15"/>
        <v>19263.089851325145</v>
      </c>
      <c r="AJ61" s="179">
        <f t="shared" si="16"/>
        <v>18000</v>
      </c>
      <c r="AK61" s="179" t="str">
        <f t="shared" si="17"/>
        <v/>
      </c>
      <c r="AL61" s="179" t="str">
        <f t="shared" si="18"/>
        <v/>
      </c>
      <c r="AM61" s="179" t="str">
        <f t="shared" si="19"/>
        <v/>
      </c>
      <c r="AN61" s="179">
        <f t="shared" si="20"/>
        <v>16131.097126505554</v>
      </c>
      <c r="AO61" s="179">
        <f t="shared" si="21"/>
        <v>17798</v>
      </c>
      <c r="AQ61" s="186">
        <f t="shared" si="22"/>
        <v>17798</v>
      </c>
      <c r="AR61" s="186">
        <f t="shared" si="23"/>
        <v>3382</v>
      </c>
      <c r="AS61" s="186">
        <f t="shared" si="24"/>
        <v>21180</v>
      </c>
      <c r="AU61" s="191">
        <v>16131.097126505554</v>
      </c>
      <c r="AV61" s="182">
        <f t="shared" si="25"/>
        <v>3064.9084540360554</v>
      </c>
      <c r="AW61" s="179">
        <f t="shared" si="26"/>
        <v>19196.005580541609</v>
      </c>
      <c r="AY61" s="158">
        <f t="shared" si="27"/>
        <v>0.10333474905160053</v>
      </c>
      <c r="AZ61" s="188" t="str">
        <f t="shared" si="28"/>
        <v>AUMENTO</v>
      </c>
      <c r="BA61" s="159"/>
      <c r="BC61" s="177">
        <v>19357.316551806663</v>
      </c>
      <c r="BE61" s="189">
        <f t="shared" si="29"/>
        <v>3560</v>
      </c>
      <c r="BF61" s="190">
        <f t="shared" si="30"/>
        <v>21358</v>
      </c>
      <c r="BG61" s="190">
        <f t="shared" si="31"/>
        <v>21358</v>
      </c>
    </row>
    <row r="62" spans="1:59" s="166" customFormat="1" ht="12" x14ac:dyDescent="0.2">
      <c r="A62" s="172">
        <v>50</v>
      </c>
      <c r="B62" s="173" t="s">
        <v>164</v>
      </c>
      <c r="C62" s="174" t="s">
        <v>3</v>
      </c>
      <c r="D62" s="175">
        <f t="shared" si="7"/>
        <v>84326.470588235301</v>
      </c>
      <c r="E62" s="176">
        <f t="shared" si="8"/>
        <v>16022.029411764708</v>
      </c>
      <c r="F62" s="177">
        <v>100348.5</v>
      </c>
      <c r="G62" s="175">
        <v>72268.907563025219</v>
      </c>
      <c r="H62" s="178">
        <v>13731.092436974792</v>
      </c>
      <c r="I62" s="179">
        <v>86000.000000000015</v>
      </c>
      <c r="J62" s="192">
        <v>69333.333333333328</v>
      </c>
      <c r="K62" s="178">
        <f t="shared" si="9"/>
        <v>13173.333333333332</v>
      </c>
      <c r="L62" s="179">
        <f t="shared" si="10"/>
        <v>82506.666666666657</v>
      </c>
      <c r="M62" s="194">
        <v>96000</v>
      </c>
      <c r="N62" s="182">
        <v>18240</v>
      </c>
      <c r="O62" s="179">
        <v>114240</v>
      </c>
      <c r="P62" s="181">
        <v>55817</v>
      </c>
      <c r="Q62" s="182">
        <v>10605.23</v>
      </c>
      <c r="R62" s="179">
        <v>66422.23</v>
      </c>
      <c r="S62" s="181">
        <v>140924.36974789915</v>
      </c>
      <c r="T62" s="182">
        <v>26775.63025210084</v>
      </c>
      <c r="U62" s="179">
        <v>167700</v>
      </c>
      <c r="V62" s="191">
        <v>74335.55152865214</v>
      </c>
      <c r="W62" s="182">
        <f t="shared" si="11"/>
        <v>14123.754790443905</v>
      </c>
      <c r="X62" s="179">
        <f t="shared" si="12"/>
        <v>88459.306319096038</v>
      </c>
      <c r="Y62" s="184"/>
      <c r="Z62" s="177">
        <f t="shared" si="13"/>
        <v>89202.661834382568</v>
      </c>
      <c r="AB62" s="179">
        <f>ROUND(AVERAGE(D62,G62,M62,V62),0)</f>
        <v>81733</v>
      </c>
      <c r="AC62" s="179">
        <f>ROUND(STDEVA(D62,G62,M62,V62),0)</f>
        <v>10871</v>
      </c>
      <c r="AD62" s="158">
        <f t="shared" si="4"/>
        <v>0.13300625206464953</v>
      </c>
      <c r="AE62" s="179">
        <f t="shared" si="5"/>
        <v>70862</v>
      </c>
      <c r="AF62" s="179">
        <f t="shared" si="6"/>
        <v>92604</v>
      </c>
      <c r="AH62" s="179">
        <f t="shared" si="14"/>
        <v>84326.470588235301</v>
      </c>
      <c r="AI62" s="179">
        <f t="shared" si="15"/>
        <v>72268.907563025219</v>
      </c>
      <c r="AJ62" s="179" t="str">
        <f t="shared" si="16"/>
        <v/>
      </c>
      <c r="AK62" s="179" t="str">
        <f t="shared" si="17"/>
        <v/>
      </c>
      <c r="AL62" s="179" t="str">
        <f t="shared" si="18"/>
        <v/>
      </c>
      <c r="AM62" s="179" t="str">
        <f t="shared" si="19"/>
        <v/>
      </c>
      <c r="AN62" s="179">
        <f t="shared" si="20"/>
        <v>74335.55152865214</v>
      </c>
      <c r="AO62" s="179">
        <f t="shared" si="21"/>
        <v>76977</v>
      </c>
      <c r="AQ62" s="186">
        <f t="shared" si="22"/>
        <v>76977</v>
      </c>
      <c r="AR62" s="186">
        <f t="shared" si="23"/>
        <v>14626</v>
      </c>
      <c r="AS62" s="186">
        <f t="shared" si="24"/>
        <v>91603</v>
      </c>
      <c r="AU62" s="191">
        <v>74335.55152865214</v>
      </c>
      <c r="AV62" s="182">
        <f t="shared" si="25"/>
        <v>14123.754790443905</v>
      </c>
      <c r="AW62" s="179">
        <f t="shared" si="26"/>
        <v>88459.306319096038</v>
      </c>
      <c r="AY62" s="158">
        <f t="shared" si="27"/>
        <v>3.5534120848349809E-2</v>
      </c>
      <c r="AZ62" s="188" t="str">
        <f t="shared" si="28"/>
        <v>AUMENTO</v>
      </c>
      <c r="BA62" s="159"/>
      <c r="BC62" s="177">
        <v>89202.661834382568</v>
      </c>
      <c r="BE62" s="189">
        <f t="shared" si="29"/>
        <v>15395</v>
      </c>
      <c r="BF62" s="190">
        <f t="shared" si="30"/>
        <v>92372</v>
      </c>
      <c r="BG62" s="190">
        <f t="shared" si="31"/>
        <v>92372</v>
      </c>
    </row>
    <row r="63" spans="1:59" s="166" customFormat="1" ht="12" x14ac:dyDescent="0.2">
      <c r="A63" s="172">
        <v>51</v>
      </c>
      <c r="B63" s="173" t="s">
        <v>165</v>
      </c>
      <c r="C63" s="174" t="s">
        <v>3</v>
      </c>
      <c r="D63" s="175">
        <f t="shared" si="7"/>
        <v>173130.25210084036</v>
      </c>
      <c r="E63" s="176">
        <f t="shared" si="8"/>
        <v>32894.747899159665</v>
      </c>
      <c r="F63" s="177">
        <v>206025</v>
      </c>
      <c r="G63" s="181">
        <v>41241.111829347123</v>
      </c>
      <c r="H63" s="178">
        <v>7835.8112475759535</v>
      </c>
      <c r="I63" s="179">
        <v>49076.923076923078</v>
      </c>
      <c r="J63" s="192">
        <v>21466.666666666668</v>
      </c>
      <c r="K63" s="178">
        <f t="shared" si="9"/>
        <v>4078.666666666667</v>
      </c>
      <c r="L63" s="179">
        <f t="shared" si="10"/>
        <v>25545.333333333336</v>
      </c>
      <c r="M63" s="175">
        <v>141000</v>
      </c>
      <c r="N63" s="182">
        <v>26790</v>
      </c>
      <c r="O63" s="179">
        <v>167790</v>
      </c>
      <c r="P63" s="181">
        <v>55817</v>
      </c>
      <c r="Q63" s="182">
        <v>10605.23</v>
      </c>
      <c r="R63" s="179">
        <v>66422.23</v>
      </c>
      <c r="S63" s="175">
        <v>140924.36974789915</v>
      </c>
      <c r="T63" s="182">
        <v>26775.63025210084</v>
      </c>
      <c r="U63" s="179">
        <v>167700</v>
      </c>
      <c r="V63" s="199">
        <v>85278.923462080827</v>
      </c>
      <c r="W63" s="182">
        <f t="shared" si="11"/>
        <v>16202.995457795358</v>
      </c>
      <c r="X63" s="179">
        <f t="shared" si="12"/>
        <v>101481.91891987619</v>
      </c>
      <c r="Y63" s="184"/>
      <c r="Z63" s="177">
        <f t="shared" si="13"/>
        <v>102334.70815449698</v>
      </c>
      <c r="AB63" s="179">
        <f>ROUND(AVERAGE(D63,M63,S63),0)</f>
        <v>151685</v>
      </c>
      <c r="AC63" s="179">
        <f>ROUND(STDEVA(D63,M63,S63),0)</f>
        <v>18572</v>
      </c>
      <c r="AD63" s="158">
        <f t="shared" si="4"/>
        <v>0.12243794706134423</v>
      </c>
      <c r="AE63" s="179">
        <f t="shared" si="5"/>
        <v>133113</v>
      </c>
      <c r="AF63" s="179">
        <f t="shared" si="6"/>
        <v>170257</v>
      </c>
      <c r="AH63" s="179" t="str">
        <f t="shared" si="14"/>
        <v/>
      </c>
      <c r="AI63" s="179" t="str">
        <f t="shared" si="15"/>
        <v/>
      </c>
      <c r="AJ63" s="179" t="str">
        <f t="shared" si="16"/>
        <v/>
      </c>
      <c r="AK63" s="179">
        <f t="shared" si="17"/>
        <v>141000</v>
      </c>
      <c r="AL63" s="179" t="str">
        <f t="shared" si="18"/>
        <v/>
      </c>
      <c r="AM63" s="179">
        <f t="shared" si="19"/>
        <v>140924.36974789915</v>
      </c>
      <c r="AN63" s="179" t="str">
        <f t="shared" si="20"/>
        <v/>
      </c>
      <c r="AO63" s="179">
        <f t="shared" si="21"/>
        <v>140962</v>
      </c>
      <c r="AQ63" s="186">
        <f t="shared" si="22"/>
        <v>140962</v>
      </c>
      <c r="AR63" s="186">
        <f t="shared" si="23"/>
        <v>26783</v>
      </c>
      <c r="AS63" s="186">
        <f t="shared" si="24"/>
        <v>167745</v>
      </c>
      <c r="AU63" s="191">
        <v>85278.923462080827</v>
      </c>
      <c r="AV63" s="182">
        <f t="shared" si="25"/>
        <v>16202.995457795358</v>
      </c>
      <c r="AW63" s="179">
        <f t="shared" si="26"/>
        <v>101481.91891987619</v>
      </c>
      <c r="AY63" s="158">
        <f t="shared" si="27"/>
        <v>0.65295238585743387</v>
      </c>
      <c r="AZ63" s="188" t="str">
        <f t="shared" si="28"/>
        <v>AUMENTO</v>
      </c>
      <c r="BA63" s="159"/>
      <c r="BC63" s="177">
        <v>102334.70815449698</v>
      </c>
      <c r="BE63" s="189">
        <f t="shared" si="29"/>
        <v>28192</v>
      </c>
      <c r="BF63" s="190">
        <f t="shared" si="30"/>
        <v>169154</v>
      </c>
      <c r="BG63" s="190">
        <f t="shared" si="31"/>
        <v>169154</v>
      </c>
    </row>
    <row r="64" spans="1:59" s="166" customFormat="1" ht="12" x14ac:dyDescent="0.2">
      <c r="A64" s="196">
        <v>52</v>
      </c>
      <c r="B64" s="173" t="s">
        <v>166</v>
      </c>
      <c r="C64" s="174" t="s">
        <v>3</v>
      </c>
      <c r="D64" s="175">
        <f t="shared" si="7"/>
        <v>103991.59663865546</v>
      </c>
      <c r="E64" s="176">
        <f t="shared" si="8"/>
        <v>19758.403361344539</v>
      </c>
      <c r="F64" s="177">
        <v>123750</v>
      </c>
      <c r="G64" s="175">
        <v>107175.17776341306</v>
      </c>
      <c r="H64" s="178">
        <v>20363.28377504848</v>
      </c>
      <c r="I64" s="179">
        <v>127538.46153846153</v>
      </c>
      <c r="J64" s="180">
        <v>98666.666666666672</v>
      </c>
      <c r="K64" s="178">
        <f t="shared" si="9"/>
        <v>18746.666666666668</v>
      </c>
      <c r="L64" s="179">
        <f t="shared" si="10"/>
        <v>117413.33333333334</v>
      </c>
      <c r="M64" s="181">
        <v>245700</v>
      </c>
      <c r="N64" s="198">
        <v>46683</v>
      </c>
      <c r="O64" s="181">
        <v>292383</v>
      </c>
      <c r="P64" s="181">
        <v>137647</v>
      </c>
      <c r="Q64" s="198">
        <v>26152.93</v>
      </c>
      <c r="R64" s="181">
        <v>163799.93</v>
      </c>
      <c r="S64" s="181">
        <v>168655.46218487396</v>
      </c>
      <c r="T64" s="182">
        <v>32044.537815126052</v>
      </c>
      <c r="U64" s="179">
        <v>200700</v>
      </c>
      <c r="V64" s="199">
        <v>87573.118076198196</v>
      </c>
      <c r="W64" s="182">
        <f t="shared" si="11"/>
        <v>16638.892434477657</v>
      </c>
      <c r="X64" s="179">
        <f t="shared" si="12"/>
        <v>104212.01051067586</v>
      </c>
      <c r="Y64" s="184"/>
      <c r="Z64" s="177">
        <f t="shared" si="13"/>
        <v>105087.74169143783</v>
      </c>
      <c r="AB64" s="203">
        <f>ROUND(AVERAGE(D64,G64,J64,M6),0)</f>
        <v>103278</v>
      </c>
      <c r="AC64" s="203">
        <f>ROUND(STDEVA(D64,G64,J64,M6),0)</f>
        <v>4299</v>
      </c>
      <c r="AD64" s="158">
        <f t="shared" si="4"/>
        <v>4.1625515598675417E-2</v>
      </c>
      <c r="AE64" s="179">
        <f t="shared" si="5"/>
        <v>98979</v>
      </c>
      <c r="AF64" s="179">
        <f t="shared" si="6"/>
        <v>107577</v>
      </c>
      <c r="AH64" s="179">
        <f t="shared" si="14"/>
        <v>103991.59663865546</v>
      </c>
      <c r="AI64" s="179">
        <f t="shared" si="15"/>
        <v>107175.17776341306</v>
      </c>
      <c r="AJ64" s="179" t="str">
        <f t="shared" si="16"/>
        <v/>
      </c>
      <c r="AK64" s="179" t="str">
        <f t="shared" si="17"/>
        <v/>
      </c>
      <c r="AL64" s="179" t="str">
        <f t="shared" si="18"/>
        <v/>
      </c>
      <c r="AM64" s="179" t="str">
        <f t="shared" si="19"/>
        <v/>
      </c>
      <c r="AN64" s="179" t="str">
        <f t="shared" si="20"/>
        <v/>
      </c>
      <c r="AO64" s="179">
        <f t="shared" si="21"/>
        <v>105583</v>
      </c>
      <c r="AQ64" s="186">
        <f t="shared" si="22"/>
        <v>105583</v>
      </c>
      <c r="AR64" s="186">
        <f t="shared" si="23"/>
        <v>20061</v>
      </c>
      <c r="AS64" s="186">
        <f t="shared" si="24"/>
        <v>125644</v>
      </c>
      <c r="AU64" s="191">
        <v>87573.118076198196</v>
      </c>
      <c r="AV64" s="182">
        <f t="shared" si="25"/>
        <v>16638.892434477657</v>
      </c>
      <c r="AW64" s="179">
        <f t="shared" si="26"/>
        <v>104212.01051067586</v>
      </c>
      <c r="AY64" s="158">
        <f t="shared" si="27"/>
        <v>0.20565536912972809</v>
      </c>
      <c r="AZ64" s="188" t="str">
        <f t="shared" si="28"/>
        <v>AUMENTO</v>
      </c>
      <c r="BA64" s="159"/>
      <c r="BC64" s="177">
        <v>105087.74169143783</v>
      </c>
      <c r="BE64" s="189">
        <f t="shared" si="29"/>
        <v>21117</v>
      </c>
      <c r="BF64" s="190">
        <f t="shared" si="30"/>
        <v>126700</v>
      </c>
      <c r="BG64" s="190">
        <f t="shared" si="31"/>
        <v>126700</v>
      </c>
    </row>
    <row r="65" spans="1:59" s="166" customFormat="1" ht="36" x14ac:dyDescent="0.2">
      <c r="A65" s="196">
        <v>53</v>
      </c>
      <c r="B65" s="173" t="s">
        <v>167</v>
      </c>
      <c r="C65" s="174" t="s">
        <v>17</v>
      </c>
      <c r="D65" s="175">
        <f t="shared" si="7"/>
        <v>279201.68067226891</v>
      </c>
      <c r="E65" s="176">
        <f t="shared" si="8"/>
        <v>53048.319327731093</v>
      </c>
      <c r="F65" s="177">
        <v>332250</v>
      </c>
      <c r="G65" s="175">
        <v>246800.25856496446</v>
      </c>
      <c r="H65" s="178">
        <v>46892.049127343249</v>
      </c>
      <c r="I65" s="179">
        <v>293692.30769230769</v>
      </c>
      <c r="J65" s="192">
        <v>22000</v>
      </c>
      <c r="K65" s="197">
        <f t="shared" si="9"/>
        <v>4180</v>
      </c>
      <c r="L65" s="181">
        <f t="shared" si="10"/>
        <v>26180</v>
      </c>
      <c r="M65" s="181">
        <v>567000</v>
      </c>
      <c r="N65" s="198">
        <v>107730</v>
      </c>
      <c r="O65" s="181">
        <v>674730</v>
      </c>
      <c r="P65" s="181">
        <v>317479</v>
      </c>
      <c r="Q65" s="198">
        <v>60321.01</v>
      </c>
      <c r="R65" s="181">
        <v>377800.01</v>
      </c>
      <c r="S65" s="181">
        <v>42859.663865546223</v>
      </c>
      <c r="T65" s="182">
        <v>8143.3361344537825</v>
      </c>
      <c r="U65" s="179">
        <v>51003.000000000007</v>
      </c>
      <c r="V65" s="191">
        <v>229298.010015793</v>
      </c>
      <c r="W65" s="182">
        <f t="shared" si="11"/>
        <v>43566.621903000669</v>
      </c>
      <c r="X65" s="179">
        <f t="shared" si="12"/>
        <v>272864.63191879366</v>
      </c>
      <c r="Y65" s="184"/>
      <c r="Z65" s="177">
        <f t="shared" si="13"/>
        <v>275157.61201895156</v>
      </c>
      <c r="AB65" s="179">
        <f>ROUND(AVERAGE(D65,G65,V65),0)</f>
        <v>251767</v>
      </c>
      <c r="AC65" s="179">
        <f>ROUND(STDEVA(D65,G65,V65),0)</f>
        <v>25320</v>
      </c>
      <c r="AD65" s="158">
        <f t="shared" si="4"/>
        <v>0.10056917705656421</v>
      </c>
      <c r="AE65" s="179">
        <f t="shared" si="5"/>
        <v>226447</v>
      </c>
      <c r="AF65" s="179">
        <f t="shared" si="6"/>
        <v>277087</v>
      </c>
      <c r="AH65" s="179" t="str">
        <f t="shared" si="14"/>
        <v/>
      </c>
      <c r="AI65" s="179">
        <f t="shared" si="15"/>
        <v>246800.25856496446</v>
      </c>
      <c r="AJ65" s="179" t="str">
        <f t="shared" si="16"/>
        <v/>
      </c>
      <c r="AK65" s="179" t="str">
        <f t="shared" si="17"/>
        <v/>
      </c>
      <c r="AL65" s="179" t="str">
        <f t="shared" si="18"/>
        <v/>
      </c>
      <c r="AM65" s="179" t="str">
        <f t="shared" si="19"/>
        <v/>
      </c>
      <c r="AN65" s="179">
        <f t="shared" si="20"/>
        <v>229298.010015793</v>
      </c>
      <c r="AO65" s="179">
        <f t="shared" si="21"/>
        <v>238049</v>
      </c>
      <c r="AQ65" s="186">
        <f t="shared" si="22"/>
        <v>238049</v>
      </c>
      <c r="AR65" s="186">
        <f t="shared" si="23"/>
        <v>45229</v>
      </c>
      <c r="AS65" s="186">
        <f t="shared" si="24"/>
        <v>283278</v>
      </c>
      <c r="AU65" s="191">
        <v>229298.010015793</v>
      </c>
      <c r="AV65" s="182">
        <f t="shared" si="25"/>
        <v>43566.621903000669</v>
      </c>
      <c r="AW65" s="179">
        <f t="shared" si="26"/>
        <v>272864.63191879366</v>
      </c>
      <c r="AY65" s="158">
        <f t="shared" si="27"/>
        <v>3.8164264851684809E-2</v>
      </c>
      <c r="AZ65" s="188" t="str">
        <f t="shared" si="28"/>
        <v>AUMENTO</v>
      </c>
      <c r="BA65" s="159"/>
      <c r="BC65" s="177">
        <v>275157.61201895156</v>
      </c>
      <c r="BE65" s="189">
        <f t="shared" si="29"/>
        <v>47610</v>
      </c>
      <c r="BF65" s="190">
        <f t="shared" si="30"/>
        <v>285659</v>
      </c>
      <c r="BG65" s="190">
        <f t="shared" si="31"/>
        <v>285659</v>
      </c>
    </row>
    <row r="66" spans="1:59" s="166" customFormat="1" ht="24" x14ac:dyDescent="0.2">
      <c r="A66" s="196">
        <v>54</v>
      </c>
      <c r="B66" s="173" t="s">
        <v>168</v>
      </c>
      <c r="C66" s="174" t="s">
        <v>39</v>
      </c>
      <c r="D66" s="175">
        <f t="shared" si="7"/>
        <v>187184.87394957984</v>
      </c>
      <c r="E66" s="176">
        <f t="shared" si="8"/>
        <v>35565.126050420171</v>
      </c>
      <c r="F66" s="177">
        <v>222750</v>
      </c>
      <c r="G66" s="181">
        <v>280413.70394311572</v>
      </c>
      <c r="H66" s="178">
        <v>53278.603749191985</v>
      </c>
      <c r="I66" s="179">
        <v>333692.30769230769</v>
      </c>
      <c r="J66" s="180">
        <v>170666.66666666666</v>
      </c>
      <c r="K66" s="178">
        <f t="shared" si="9"/>
        <v>32426.666666666664</v>
      </c>
      <c r="L66" s="179">
        <f t="shared" si="10"/>
        <v>203093.33333333331</v>
      </c>
      <c r="M66" s="181">
        <v>480000</v>
      </c>
      <c r="N66" s="198">
        <v>91200</v>
      </c>
      <c r="O66" s="181">
        <v>571200</v>
      </c>
      <c r="P66" s="181">
        <v>268739</v>
      </c>
      <c r="Q66" s="198">
        <v>51060.41</v>
      </c>
      <c r="R66" s="181">
        <v>319799.41000000003</v>
      </c>
      <c r="S66" s="181">
        <v>360252.10084033618</v>
      </c>
      <c r="T66" s="182">
        <v>68447.899159663881</v>
      </c>
      <c r="U66" s="179">
        <v>428700.00000000006</v>
      </c>
      <c r="V66" s="191">
        <v>183615.48876860584</v>
      </c>
      <c r="W66" s="182">
        <f t="shared" si="11"/>
        <v>34886.942866035111</v>
      </c>
      <c r="X66" s="179">
        <f t="shared" si="12"/>
        <v>218502.43163464096</v>
      </c>
      <c r="Y66" s="184"/>
      <c r="Z66" s="177">
        <f t="shared" si="13"/>
        <v>220338.58652232701</v>
      </c>
      <c r="AB66" s="179">
        <f>ROUND(AVERAGE(D66,J66,V66),0)</f>
        <v>180489</v>
      </c>
      <c r="AC66" s="179">
        <f>ROUND(STDEVA(D66,J66,V66),0)</f>
        <v>8692</v>
      </c>
      <c r="AD66" s="158">
        <f t="shared" si="4"/>
        <v>4.8158059493930379E-2</v>
      </c>
      <c r="AE66" s="179">
        <f t="shared" si="5"/>
        <v>171797</v>
      </c>
      <c r="AF66" s="179">
        <f t="shared" si="6"/>
        <v>189181</v>
      </c>
      <c r="AH66" s="179">
        <f t="shared" si="14"/>
        <v>187184.87394957984</v>
      </c>
      <c r="AI66" s="179" t="str">
        <f t="shared" si="15"/>
        <v/>
      </c>
      <c r="AJ66" s="179" t="str">
        <f t="shared" si="16"/>
        <v/>
      </c>
      <c r="AK66" s="179" t="str">
        <f t="shared" si="17"/>
        <v/>
      </c>
      <c r="AL66" s="179" t="str">
        <f t="shared" si="18"/>
        <v/>
      </c>
      <c r="AM66" s="179" t="str">
        <f t="shared" si="19"/>
        <v/>
      </c>
      <c r="AN66" s="179">
        <f t="shared" si="20"/>
        <v>183615.48876860584</v>
      </c>
      <c r="AO66" s="179">
        <f t="shared" si="21"/>
        <v>185400</v>
      </c>
      <c r="AQ66" s="186">
        <f t="shared" si="22"/>
        <v>185400</v>
      </c>
      <c r="AR66" s="186">
        <f t="shared" si="23"/>
        <v>35226</v>
      </c>
      <c r="AS66" s="186">
        <f t="shared" si="24"/>
        <v>220626</v>
      </c>
      <c r="AU66" s="191">
        <v>183615.48876860584</v>
      </c>
      <c r="AV66" s="182">
        <f t="shared" si="25"/>
        <v>34886.942866035111</v>
      </c>
      <c r="AW66" s="179">
        <f t="shared" si="26"/>
        <v>218502.43163464096</v>
      </c>
      <c r="AY66" s="158">
        <f t="shared" si="27"/>
        <v>9.7187401964930319E-3</v>
      </c>
      <c r="AZ66" s="188" t="str">
        <f t="shared" si="28"/>
        <v>AUMENTO</v>
      </c>
      <c r="BA66" s="159"/>
      <c r="BC66" s="177">
        <v>220338.58652232701</v>
      </c>
      <c r="BE66" s="189">
        <f t="shared" si="29"/>
        <v>37080</v>
      </c>
      <c r="BF66" s="190">
        <f t="shared" si="30"/>
        <v>222480</v>
      </c>
      <c r="BG66" s="190">
        <f t="shared" si="31"/>
        <v>222480</v>
      </c>
    </row>
    <row r="67" spans="1:59" s="166" customFormat="1" ht="24" x14ac:dyDescent="0.2">
      <c r="A67" s="196">
        <v>55</v>
      </c>
      <c r="B67" s="173" t="s">
        <v>169</v>
      </c>
      <c r="C67" s="174" t="s">
        <v>236</v>
      </c>
      <c r="D67" s="175">
        <f t="shared" si="7"/>
        <v>220588.23529411765</v>
      </c>
      <c r="E67" s="176">
        <f t="shared" si="8"/>
        <v>41911.764705882357</v>
      </c>
      <c r="F67" s="177">
        <v>262500</v>
      </c>
      <c r="G67" s="194">
        <v>162766.64511958629</v>
      </c>
      <c r="H67" s="197">
        <v>30925.662572721394</v>
      </c>
      <c r="I67" s="181">
        <v>193692.30769230769</v>
      </c>
      <c r="J67" s="192">
        <v>136000</v>
      </c>
      <c r="K67" s="178">
        <f t="shared" si="9"/>
        <v>25840</v>
      </c>
      <c r="L67" s="179">
        <f t="shared" si="10"/>
        <v>161840</v>
      </c>
      <c r="M67" s="181">
        <v>606000</v>
      </c>
      <c r="N67" s="182">
        <v>115140</v>
      </c>
      <c r="O67" s="179">
        <v>721140</v>
      </c>
      <c r="P67" s="175">
        <v>203193</v>
      </c>
      <c r="Q67" s="182">
        <v>38606.67</v>
      </c>
      <c r="R67" s="179">
        <v>241799.66999999998</v>
      </c>
      <c r="S67" s="181">
        <v>304789.91596638656</v>
      </c>
      <c r="T67" s="182">
        <v>57910.08403361345</v>
      </c>
      <c r="U67" s="179">
        <v>362700</v>
      </c>
      <c r="V67" s="191">
        <v>174587.14840631699</v>
      </c>
      <c r="W67" s="182">
        <f t="shared" si="11"/>
        <v>33171.558197200226</v>
      </c>
      <c r="X67" s="179">
        <f t="shared" si="12"/>
        <v>207758.70660351723</v>
      </c>
      <c r="Y67" s="184"/>
      <c r="Z67" s="177">
        <f t="shared" si="13"/>
        <v>209504.57808758039</v>
      </c>
      <c r="AB67" s="179">
        <f>ROUND(AVERAGE(D67,G67,P67,V67),0)</f>
        <v>190284</v>
      </c>
      <c r="AC67" s="179">
        <f>ROUND(STDEVA(D67,G67,P67,V67),0)</f>
        <v>26386</v>
      </c>
      <c r="AD67" s="158">
        <f t="shared" si="4"/>
        <v>0.13866641441214186</v>
      </c>
      <c r="AE67" s="179">
        <f t="shared" si="5"/>
        <v>163898</v>
      </c>
      <c r="AF67" s="179">
        <f t="shared" si="6"/>
        <v>216670</v>
      </c>
      <c r="AH67" s="179" t="str">
        <f t="shared" si="14"/>
        <v/>
      </c>
      <c r="AI67" s="179" t="str">
        <f t="shared" si="15"/>
        <v/>
      </c>
      <c r="AJ67" s="179" t="str">
        <f t="shared" si="16"/>
        <v/>
      </c>
      <c r="AK67" s="179" t="str">
        <f t="shared" si="17"/>
        <v/>
      </c>
      <c r="AL67" s="179">
        <f t="shared" si="18"/>
        <v>203193</v>
      </c>
      <c r="AM67" s="179" t="str">
        <f t="shared" si="19"/>
        <v/>
      </c>
      <c r="AN67" s="179">
        <f t="shared" si="20"/>
        <v>174587.14840631699</v>
      </c>
      <c r="AO67" s="179">
        <f t="shared" si="21"/>
        <v>188890</v>
      </c>
      <c r="AQ67" s="186">
        <f t="shared" si="22"/>
        <v>188890</v>
      </c>
      <c r="AR67" s="186">
        <f t="shared" si="23"/>
        <v>35889</v>
      </c>
      <c r="AS67" s="186">
        <f t="shared" si="24"/>
        <v>224779</v>
      </c>
      <c r="AU67" s="191">
        <v>174587.14840631699</v>
      </c>
      <c r="AV67" s="182">
        <f t="shared" si="25"/>
        <v>33171.558197200226</v>
      </c>
      <c r="AW67" s="179">
        <f t="shared" si="26"/>
        <v>207758.70660351723</v>
      </c>
      <c r="AY67" s="158">
        <f t="shared" si="27"/>
        <v>8.1923851350134635E-2</v>
      </c>
      <c r="AZ67" s="188" t="str">
        <f t="shared" si="28"/>
        <v>AUMENTO</v>
      </c>
      <c r="BA67" s="159"/>
      <c r="BC67" s="177">
        <v>209504.57808758039</v>
      </c>
      <c r="BE67" s="189">
        <f t="shared" si="29"/>
        <v>37778</v>
      </c>
      <c r="BF67" s="190">
        <f t="shared" si="30"/>
        <v>226668</v>
      </c>
      <c r="BG67" s="190">
        <f t="shared" si="31"/>
        <v>226668</v>
      </c>
    </row>
    <row r="68" spans="1:59" s="166" customFormat="1" ht="24" x14ac:dyDescent="0.2">
      <c r="A68" s="196">
        <v>56</v>
      </c>
      <c r="B68" s="173" t="s">
        <v>170</v>
      </c>
      <c r="C68" s="174" t="s">
        <v>39</v>
      </c>
      <c r="D68" s="175">
        <f t="shared" si="7"/>
        <v>296218.48739495798</v>
      </c>
      <c r="E68" s="176">
        <f t="shared" si="8"/>
        <v>56281.512605042015</v>
      </c>
      <c r="F68" s="177">
        <v>352500</v>
      </c>
      <c r="G68" s="181">
        <v>175694.89334195215</v>
      </c>
      <c r="H68" s="197">
        <v>33382.029734970907</v>
      </c>
      <c r="I68" s="181">
        <v>209076.92307692306</v>
      </c>
      <c r="J68" s="192">
        <v>141333.33333333334</v>
      </c>
      <c r="K68" s="197">
        <f t="shared" si="9"/>
        <v>26853.333333333336</v>
      </c>
      <c r="L68" s="181">
        <f t="shared" si="10"/>
        <v>168186.66666666669</v>
      </c>
      <c r="M68" s="181">
        <v>573000</v>
      </c>
      <c r="N68" s="182">
        <v>108870</v>
      </c>
      <c r="O68" s="179">
        <v>681870</v>
      </c>
      <c r="P68" s="175">
        <v>220000</v>
      </c>
      <c r="Q68" s="182">
        <v>41800</v>
      </c>
      <c r="R68" s="179">
        <v>261800</v>
      </c>
      <c r="S68" s="175">
        <v>294705.8823529412</v>
      </c>
      <c r="T68" s="182">
        <v>55994.117647058833</v>
      </c>
      <c r="U68" s="179">
        <v>350700.00000000006</v>
      </c>
      <c r="V68" s="199">
        <v>143211.65536667142</v>
      </c>
      <c r="W68" s="182">
        <f t="shared" si="11"/>
        <v>27210.21451966757</v>
      </c>
      <c r="X68" s="179">
        <f t="shared" si="12"/>
        <v>170421.869886339</v>
      </c>
      <c r="Y68" s="184"/>
      <c r="Z68" s="177">
        <f t="shared" si="13"/>
        <v>171853.98644000568</v>
      </c>
      <c r="AB68" s="179">
        <f>ROUND(AVERAGE(D68,P68,S68),0)</f>
        <v>270308</v>
      </c>
      <c r="AC68" s="179">
        <f>ROUND(STDEVA(D68,P68,S68),0)</f>
        <v>43575</v>
      </c>
      <c r="AD68" s="158">
        <f t="shared" si="4"/>
        <v>0.16120499578258876</v>
      </c>
      <c r="AE68" s="179">
        <f t="shared" si="5"/>
        <v>226733</v>
      </c>
      <c r="AF68" s="179">
        <f t="shared" si="6"/>
        <v>313883</v>
      </c>
      <c r="AH68" s="179">
        <f t="shared" si="14"/>
        <v>296218.48739495798</v>
      </c>
      <c r="AI68" s="179" t="str">
        <f t="shared" si="15"/>
        <v/>
      </c>
      <c r="AJ68" s="179" t="str">
        <f t="shared" si="16"/>
        <v/>
      </c>
      <c r="AK68" s="179" t="str">
        <f t="shared" si="17"/>
        <v/>
      </c>
      <c r="AL68" s="179" t="str">
        <f t="shared" si="18"/>
        <v/>
      </c>
      <c r="AM68" s="179">
        <f t="shared" si="19"/>
        <v>294705.8823529412</v>
      </c>
      <c r="AN68" s="179" t="str">
        <f t="shared" si="20"/>
        <v/>
      </c>
      <c r="AO68" s="179">
        <f t="shared" si="21"/>
        <v>295462</v>
      </c>
      <c r="AQ68" s="186">
        <f t="shared" si="22"/>
        <v>295462</v>
      </c>
      <c r="AR68" s="186">
        <f t="shared" si="23"/>
        <v>56138</v>
      </c>
      <c r="AS68" s="186">
        <f t="shared" si="24"/>
        <v>351600</v>
      </c>
      <c r="AU68" s="191">
        <v>143211.65536667142</v>
      </c>
      <c r="AV68" s="182">
        <f t="shared" si="25"/>
        <v>27210.21451966757</v>
      </c>
      <c r="AW68" s="179">
        <f t="shared" si="26"/>
        <v>170421.869886339</v>
      </c>
      <c r="AY68" s="158">
        <f t="shared" si="27"/>
        <v>1.063114201449002</v>
      </c>
      <c r="AZ68" s="188" t="str">
        <f t="shared" si="28"/>
        <v>AUMENTO</v>
      </c>
      <c r="BA68" s="159"/>
      <c r="BC68" s="177">
        <v>171853.98644000568</v>
      </c>
      <c r="BE68" s="189">
        <f t="shared" si="29"/>
        <v>59092</v>
      </c>
      <c r="BF68" s="190">
        <f t="shared" si="30"/>
        <v>354554</v>
      </c>
      <c r="BG68" s="190">
        <f t="shared" si="31"/>
        <v>354554</v>
      </c>
    </row>
    <row r="69" spans="1:59" s="166" customFormat="1" ht="12" x14ac:dyDescent="0.2">
      <c r="A69" s="196">
        <v>57</v>
      </c>
      <c r="B69" s="173" t="s">
        <v>171</v>
      </c>
      <c r="C69" s="174" t="s">
        <v>39</v>
      </c>
      <c r="D69" s="175">
        <f t="shared" si="7"/>
        <v>119747.89915966387</v>
      </c>
      <c r="E69" s="176">
        <f t="shared" si="8"/>
        <v>22752.100840336134</v>
      </c>
      <c r="F69" s="177">
        <v>142500</v>
      </c>
      <c r="G69" s="175">
        <v>139495.79831932773</v>
      </c>
      <c r="H69" s="178">
        <v>26504.201680672268</v>
      </c>
      <c r="I69" s="179">
        <v>166000</v>
      </c>
      <c r="J69" s="180">
        <v>109333.33333333333</v>
      </c>
      <c r="K69" s="178">
        <f t="shared" si="9"/>
        <v>20773.333333333332</v>
      </c>
      <c r="L69" s="179">
        <f t="shared" si="10"/>
        <v>130106.66666666666</v>
      </c>
      <c r="M69" s="181">
        <v>476700</v>
      </c>
      <c r="N69" s="198">
        <v>90573</v>
      </c>
      <c r="O69" s="181">
        <v>567273</v>
      </c>
      <c r="P69" s="181">
        <v>177983</v>
      </c>
      <c r="Q69" s="198">
        <v>33816.769999999997</v>
      </c>
      <c r="R69" s="181">
        <v>211799.77</v>
      </c>
      <c r="S69" s="181">
        <v>239243.69747899161</v>
      </c>
      <c r="T69" s="182">
        <v>45456.302521008409</v>
      </c>
      <c r="U69" s="179">
        <v>284700</v>
      </c>
      <c r="V69" s="191">
        <v>106065.56823757802</v>
      </c>
      <c r="W69" s="182">
        <f t="shared" si="11"/>
        <v>20152.457965139824</v>
      </c>
      <c r="X69" s="179">
        <f t="shared" si="12"/>
        <v>126218.02620271784</v>
      </c>
      <c r="Y69" s="184"/>
      <c r="Z69" s="177">
        <f t="shared" si="13"/>
        <v>127278.68188509361</v>
      </c>
      <c r="AB69" s="179">
        <f>ROUND(AVERAGE(D69,J69,V69),0)</f>
        <v>111716</v>
      </c>
      <c r="AC69" s="179">
        <f>ROUND(STDEVA(D69,J69,V69),0)</f>
        <v>7145</v>
      </c>
      <c r="AD69" s="158">
        <f t="shared" si="4"/>
        <v>6.3956819076945115E-2</v>
      </c>
      <c r="AE69" s="179">
        <f t="shared" si="5"/>
        <v>104571</v>
      </c>
      <c r="AF69" s="179">
        <f t="shared" si="6"/>
        <v>118861</v>
      </c>
      <c r="AH69" s="179" t="str">
        <f t="shared" si="14"/>
        <v/>
      </c>
      <c r="AI69" s="179" t="str">
        <f t="shared" si="15"/>
        <v/>
      </c>
      <c r="AJ69" s="179">
        <f t="shared" si="16"/>
        <v>109333.33333333333</v>
      </c>
      <c r="AK69" s="179" t="str">
        <f t="shared" si="17"/>
        <v/>
      </c>
      <c r="AL69" s="179" t="str">
        <f t="shared" si="18"/>
        <v/>
      </c>
      <c r="AM69" s="179" t="str">
        <f t="shared" si="19"/>
        <v/>
      </c>
      <c r="AN69" s="179">
        <f t="shared" si="20"/>
        <v>106065.56823757802</v>
      </c>
      <c r="AO69" s="179">
        <f t="shared" si="21"/>
        <v>107699</v>
      </c>
      <c r="AQ69" s="186">
        <f t="shared" si="22"/>
        <v>107699</v>
      </c>
      <c r="AR69" s="186">
        <f t="shared" si="23"/>
        <v>20463</v>
      </c>
      <c r="AS69" s="186">
        <f t="shared" si="24"/>
        <v>128162</v>
      </c>
      <c r="AU69" s="191">
        <v>106065.56823757802</v>
      </c>
      <c r="AV69" s="182">
        <f t="shared" si="25"/>
        <v>20152.457965139824</v>
      </c>
      <c r="AW69" s="179">
        <f t="shared" si="26"/>
        <v>126218.02620271784</v>
      </c>
      <c r="AY69" s="158">
        <f t="shared" si="27"/>
        <v>1.5400207527887214E-2</v>
      </c>
      <c r="AZ69" s="188" t="str">
        <f t="shared" si="28"/>
        <v>AUMENTO</v>
      </c>
      <c r="BA69" s="159"/>
      <c r="BC69" s="177">
        <v>127278.68188509361</v>
      </c>
      <c r="BE69" s="189">
        <f t="shared" si="29"/>
        <v>21540</v>
      </c>
      <c r="BF69" s="190">
        <f t="shared" si="30"/>
        <v>129239</v>
      </c>
      <c r="BG69" s="190">
        <f t="shared" si="31"/>
        <v>129239</v>
      </c>
    </row>
    <row r="70" spans="1:59" s="166" customFormat="1" ht="24" x14ac:dyDescent="0.2">
      <c r="A70" s="196">
        <v>58</v>
      </c>
      <c r="B70" s="173" t="s">
        <v>172</v>
      </c>
      <c r="C70" s="174" t="s">
        <v>18</v>
      </c>
      <c r="D70" s="181">
        <f t="shared" si="7"/>
        <v>44117.647058823532</v>
      </c>
      <c r="E70" s="176">
        <f t="shared" si="8"/>
        <v>8382.3529411764703</v>
      </c>
      <c r="F70" s="177">
        <v>52500</v>
      </c>
      <c r="G70" s="175">
        <v>85197.155785391078</v>
      </c>
      <c r="H70" s="178">
        <v>16187.459599224305</v>
      </c>
      <c r="I70" s="179">
        <v>101384.61538461538</v>
      </c>
      <c r="J70" s="180">
        <v>72000</v>
      </c>
      <c r="K70" s="178">
        <f t="shared" si="9"/>
        <v>13680</v>
      </c>
      <c r="L70" s="179">
        <f t="shared" si="10"/>
        <v>85680</v>
      </c>
      <c r="M70" s="181">
        <v>318000</v>
      </c>
      <c r="N70" s="198">
        <v>60420</v>
      </c>
      <c r="O70" s="181">
        <v>378420</v>
      </c>
      <c r="P70" s="181">
        <v>109076</v>
      </c>
      <c r="Q70" s="198">
        <v>20724.439999999999</v>
      </c>
      <c r="R70" s="181">
        <v>129800.44</v>
      </c>
      <c r="S70" s="181">
        <v>163613.44537815126</v>
      </c>
      <c r="T70" s="182">
        <v>31086.55462184874</v>
      </c>
      <c r="U70" s="179">
        <v>194700</v>
      </c>
      <c r="V70" s="191">
        <v>73809.877780125724</v>
      </c>
      <c r="W70" s="182">
        <f t="shared" si="11"/>
        <v>14023.876778223887</v>
      </c>
      <c r="X70" s="179">
        <f t="shared" si="12"/>
        <v>87833.75455834961</v>
      </c>
      <c r="Y70" s="184"/>
      <c r="Z70" s="177">
        <f t="shared" si="13"/>
        <v>88571.85333615086</v>
      </c>
      <c r="AB70" s="179">
        <f>ROUND(AVERAGE(G70,J70,V70),0)</f>
        <v>77002</v>
      </c>
      <c r="AC70" s="179">
        <f>ROUND(STDEVA(G70,J70,V70),0)</f>
        <v>7154</v>
      </c>
      <c r="AD70" s="158">
        <f t="shared" si="4"/>
        <v>9.2906677748629901E-2</v>
      </c>
      <c r="AE70" s="179">
        <f t="shared" si="5"/>
        <v>69848</v>
      </c>
      <c r="AF70" s="179">
        <f t="shared" si="6"/>
        <v>84156</v>
      </c>
      <c r="AH70" s="179" t="str">
        <f t="shared" si="14"/>
        <v/>
      </c>
      <c r="AI70" s="179" t="str">
        <f t="shared" si="15"/>
        <v/>
      </c>
      <c r="AJ70" s="179">
        <f t="shared" si="16"/>
        <v>72000</v>
      </c>
      <c r="AK70" s="179" t="str">
        <f t="shared" si="17"/>
        <v/>
      </c>
      <c r="AL70" s="179" t="str">
        <f t="shared" si="18"/>
        <v/>
      </c>
      <c r="AM70" s="179" t="str">
        <f t="shared" si="19"/>
        <v/>
      </c>
      <c r="AN70" s="179">
        <f t="shared" si="20"/>
        <v>73809.877780125724</v>
      </c>
      <c r="AO70" s="179">
        <f t="shared" si="21"/>
        <v>72905</v>
      </c>
      <c r="AQ70" s="186">
        <f t="shared" si="22"/>
        <v>72905</v>
      </c>
      <c r="AR70" s="186">
        <f t="shared" si="23"/>
        <v>13852</v>
      </c>
      <c r="AS70" s="186">
        <f t="shared" si="24"/>
        <v>86757</v>
      </c>
      <c r="AU70" s="191">
        <v>73809.877780125724</v>
      </c>
      <c r="AV70" s="182">
        <f t="shared" si="25"/>
        <v>14023.876778223887</v>
      </c>
      <c r="AW70" s="179">
        <f t="shared" si="26"/>
        <v>87833.75455834961</v>
      </c>
      <c r="AY70" s="158">
        <f t="shared" si="27"/>
        <v>-1.2259575646789297E-2</v>
      </c>
      <c r="AZ70" s="188" t="str">
        <f t="shared" si="28"/>
        <v>AUMENTO</v>
      </c>
      <c r="BA70" s="159"/>
      <c r="BC70" s="177">
        <v>88571.85333615086</v>
      </c>
      <c r="BE70" s="189">
        <f t="shared" si="29"/>
        <v>14581</v>
      </c>
      <c r="BF70" s="190">
        <f t="shared" si="30"/>
        <v>87486</v>
      </c>
      <c r="BG70" s="190">
        <f t="shared" si="31"/>
        <v>87486</v>
      </c>
    </row>
    <row r="71" spans="1:59" s="166" customFormat="1" ht="16.899999999999999" customHeight="1" x14ac:dyDescent="0.2">
      <c r="A71" s="196">
        <v>59</v>
      </c>
      <c r="B71" s="173" t="s">
        <v>173</v>
      </c>
      <c r="C71" s="174" t="s">
        <v>39</v>
      </c>
      <c r="D71" s="181">
        <f t="shared" si="7"/>
        <v>2923109.2436974789</v>
      </c>
      <c r="E71" s="176">
        <f t="shared" si="8"/>
        <v>555390.75630252098</v>
      </c>
      <c r="F71" s="177">
        <v>3478500</v>
      </c>
      <c r="G71" s="175">
        <v>279120.87912087911</v>
      </c>
      <c r="H71" s="178">
        <v>53032.967032967033</v>
      </c>
      <c r="I71" s="179">
        <v>332153.84615384613</v>
      </c>
      <c r="J71" s="180">
        <v>286666.66666666669</v>
      </c>
      <c r="K71" s="178">
        <f t="shared" si="9"/>
        <v>54466.666666666672</v>
      </c>
      <c r="L71" s="179">
        <f t="shared" si="10"/>
        <v>341133.33333333337</v>
      </c>
      <c r="M71" s="181">
        <v>1089000</v>
      </c>
      <c r="N71" s="182">
        <v>206910</v>
      </c>
      <c r="O71" s="179">
        <v>1295910</v>
      </c>
      <c r="P71" s="181">
        <v>359496</v>
      </c>
      <c r="Q71" s="198">
        <v>68304.240000000005</v>
      </c>
      <c r="R71" s="181">
        <v>427800.24</v>
      </c>
      <c r="S71" s="181">
        <v>539243.69747899158</v>
      </c>
      <c r="T71" s="182">
        <v>102456.3025210084</v>
      </c>
      <c r="U71" s="179">
        <v>641700</v>
      </c>
      <c r="V71" s="191">
        <v>294905.18002867122</v>
      </c>
      <c r="W71" s="182">
        <f t="shared" si="11"/>
        <v>56031.98420544753</v>
      </c>
      <c r="X71" s="179">
        <f t="shared" si="12"/>
        <v>350937.16423411877</v>
      </c>
      <c r="Y71" s="184"/>
      <c r="Z71" s="177">
        <f t="shared" si="13"/>
        <v>353886.21603440546</v>
      </c>
      <c r="AB71" s="179">
        <f>ROUND(AVERAGE(G71,J71,V71),0)</f>
        <v>286898</v>
      </c>
      <c r="AC71" s="179">
        <f>ROUND(STDEVA(G71,J71,V71),0)</f>
        <v>7895</v>
      </c>
      <c r="AD71" s="158">
        <f t="shared" si="4"/>
        <v>2.7518490892233478E-2</v>
      </c>
      <c r="AE71" s="179">
        <f t="shared" si="5"/>
        <v>279003</v>
      </c>
      <c r="AF71" s="179">
        <f t="shared" si="6"/>
        <v>294793</v>
      </c>
      <c r="AH71" s="179" t="str">
        <f t="shared" si="14"/>
        <v/>
      </c>
      <c r="AI71" s="179">
        <f t="shared" si="15"/>
        <v>279120.87912087911</v>
      </c>
      <c r="AJ71" s="179">
        <f t="shared" si="16"/>
        <v>286666.66666666669</v>
      </c>
      <c r="AK71" s="179" t="str">
        <f t="shared" si="17"/>
        <v/>
      </c>
      <c r="AL71" s="179" t="str">
        <f t="shared" si="18"/>
        <v/>
      </c>
      <c r="AM71" s="179" t="str">
        <f t="shared" si="19"/>
        <v/>
      </c>
      <c r="AN71" s="179" t="str">
        <f t="shared" si="20"/>
        <v/>
      </c>
      <c r="AO71" s="179">
        <f t="shared" si="21"/>
        <v>282894</v>
      </c>
      <c r="AQ71" s="186">
        <f t="shared" si="22"/>
        <v>282894</v>
      </c>
      <c r="AR71" s="186">
        <f t="shared" si="23"/>
        <v>53750</v>
      </c>
      <c r="AS71" s="186">
        <f t="shared" si="24"/>
        <v>336644</v>
      </c>
      <c r="AU71" s="191">
        <v>294905.18002867122</v>
      </c>
      <c r="AV71" s="182">
        <f t="shared" si="25"/>
        <v>56031.98420544753</v>
      </c>
      <c r="AW71" s="179">
        <f t="shared" si="26"/>
        <v>350937.16423411877</v>
      </c>
      <c r="AY71" s="158">
        <f t="shared" si="27"/>
        <v>-4.0728955752840537E-2</v>
      </c>
      <c r="AZ71" s="188" t="str">
        <f t="shared" si="28"/>
        <v>AUMENTO</v>
      </c>
      <c r="BA71" s="159"/>
      <c r="BC71" s="177">
        <v>353886.21603440546</v>
      </c>
      <c r="BE71" s="189">
        <f t="shared" si="29"/>
        <v>56579</v>
      </c>
      <c r="BF71" s="190">
        <f t="shared" si="30"/>
        <v>339473</v>
      </c>
      <c r="BG71" s="190">
        <f t="shared" si="31"/>
        <v>339473</v>
      </c>
    </row>
    <row r="72" spans="1:59" s="166" customFormat="1" ht="12" x14ac:dyDescent="0.2">
      <c r="A72" s="172">
        <v>60</v>
      </c>
      <c r="B72" s="173" t="s">
        <v>174</v>
      </c>
      <c r="C72" s="174" t="s">
        <v>17</v>
      </c>
      <c r="D72" s="175">
        <f t="shared" si="7"/>
        <v>253235.29411764708</v>
      </c>
      <c r="E72" s="176">
        <f t="shared" si="8"/>
        <v>48114.705882352944</v>
      </c>
      <c r="F72" s="177">
        <v>301350</v>
      </c>
      <c r="G72" s="175">
        <v>261021.33160956693</v>
      </c>
      <c r="H72" s="178">
        <v>49594.053005817717</v>
      </c>
      <c r="I72" s="179">
        <v>310615.38461538462</v>
      </c>
      <c r="J72" s="180">
        <v>214666.66666666666</v>
      </c>
      <c r="K72" s="178">
        <f t="shared" si="9"/>
        <v>40786.666666666664</v>
      </c>
      <c r="L72" s="179">
        <f t="shared" si="10"/>
        <v>255453.33333333331</v>
      </c>
      <c r="M72" s="181">
        <v>750600</v>
      </c>
      <c r="N72" s="198">
        <v>142614</v>
      </c>
      <c r="O72" s="181">
        <v>893214</v>
      </c>
      <c r="P72" s="181">
        <v>337647</v>
      </c>
      <c r="Q72" s="198">
        <v>64152.93</v>
      </c>
      <c r="R72" s="181">
        <v>401799.93</v>
      </c>
      <c r="S72" s="181">
        <v>506470.58823529416</v>
      </c>
      <c r="T72" s="182">
        <v>96229.411764705888</v>
      </c>
      <c r="U72" s="179">
        <v>602700</v>
      </c>
      <c r="V72" s="191">
        <v>225637.27868254427</v>
      </c>
      <c r="W72" s="182">
        <f t="shared" si="11"/>
        <v>42871.082949683412</v>
      </c>
      <c r="X72" s="179">
        <f t="shared" si="12"/>
        <v>268508.36163222766</v>
      </c>
      <c r="Y72" s="184"/>
      <c r="Z72" s="177">
        <f t="shared" si="13"/>
        <v>270764.73441905313</v>
      </c>
      <c r="AB72" s="179">
        <f>ROUND(AVERAGE(D72,G72,J72,V72),0)</f>
        <v>238640</v>
      </c>
      <c r="AC72" s="179">
        <f>ROUND(STDEVA(D72,G72,J72,V72),0)</f>
        <v>22043</v>
      </c>
      <c r="AD72" s="158">
        <f t="shared" si="4"/>
        <v>9.23692591350989E-2</v>
      </c>
      <c r="AE72" s="179">
        <f t="shared" si="5"/>
        <v>216597</v>
      </c>
      <c r="AF72" s="179">
        <f t="shared" si="6"/>
        <v>260683</v>
      </c>
      <c r="AH72" s="179">
        <f t="shared" si="14"/>
        <v>253235.29411764708</v>
      </c>
      <c r="AI72" s="179" t="str">
        <f t="shared" si="15"/>
        <v/>
      </c>
      <c r="AJ72" s="179" t="str">
        <f t="shared" si="16"/>
        <v/>
      </c>
      <c r="AK72" s="179" t="str">
        <f t="shared" si="17"/>
        <v/>
      </c>
      <c r="AL72" s="179" t="str">
        <f t="shared" si="18"/>
        <v/>
      </c>
      <c r="AM72" s="179" t="str">
        <f t="shared" si="19"/>
        <v/>
      </c>
      <c r="AN72" s="179">
        <f t="shared" si="20"/>
        <v>225637.27868254427</v>
      </c>
      <c r="AO72" s="179">
        <f t="shared" si="21"/>
        <v>239436</v>
      </c>
      <c r="AQ72" s="186">
        <f t="shared" si="22"/>
        <v>239436</v>
      </c>
      <c r="AR72" s="186">
        <f t="shared" si="23"/>
        <v>45493</v>
      </c>
      <c r="AS72" s="186">
        <f t="shared" si="24"/>
        <v>284929</v>
      </c>
      <c r="AU72" s="191">
        <v>225637.27868254427</v>
      </c>
      <c r="AV72" s="182">
        <f t="shared" si="25"/>
        <v>42871.082949683412</v>
      </c>
      <c r="AW72" s="179">
        <f t="shared" si="26"/>
        <v>268508.36163222766</v>
      </c>
      <c r="AY72" s="158">
        <f t="shared" si="27"/>
        <v>6.1154439541302716E-2</v>
      </c>
      <c r="AZ72" s="188" t="str">
        <f t="shared" si="28"/>
        <v>AUMENTO</v>
      </c>
      <c r="BA72" s="159"/>
      <c r="BC72" s="177">
        <v>270764.73441905313</v>
      </c>
      <c r="BE72" s="189">
        <f t="shared" si="29"/>
        <v>47887</v>
      </c>
      <c r="BF72" s="190">
        <f t="shared" si="30"/>
        <v>287323</v>
      </c>
      <c r="BG72" s="190">
        <f t="shared" si="31"/>
        <v>287323</v>
      </c>
    </row>
    <row r="73" spans="1:59" s="166" customFormat="1" ht="24" x14ac:dyDescent="0.2">
      <c r="A73" s="172">
        <v>61</v>
      </c>
      <c r="B73" s="173" t="s">
        <v>210</v>
      </c>
      <c r="C73" s="174" t="s">
        <v>3</v>
      </c>
      <c r="D73" s="175">
        <f t="shared" si="7"/>
        <v>171302.52100840336</v>
      </c>
      <c r="E73" s="176">
        <f t="shared" si="8"/>
        <v>32547.478991596639</v>
      </c>
      <c r="F73" s="177">
        <v>203850</v>
      </c>
      <c r="G73" s="175">
        <v>175694.89334195215</v>
      </c>
      <c r="H73" s="178">
        <v>33382.029734970907</v>
      </c>
      <c r="I73" s="179">
        <v>209076.92307692306</v>
      </c>
      <c r="J73" s="192">
        <v>140000</v>
      </c>
      <c r="K73" s="178">
        <f t="shared" si="9"/>
        <v>26600</v>
      </c>
      <c r="L73" s="179">
        <f t="shared" si="10"/>
        <v>166600</v>
      </c>
      <c r="M73" s="181">
        <v>390000</v>
      </c>
      <c r="N73" s="198">
        <v>74100</v>
      </c>
      <c r="O73" s="181">
        <v>464100</v>
      </c>
      <c r="P73" s="181">
        <v>226723</v>
      </c>
      <c r="Q73" s="198">
        <v>43077.37</v>
      </c>
      <c r="R73" s="181">
        <v>269800.37</v>
      </c>
      <c r="S73" s="181">
        <v>340084.03361344541</v>
      </c>
      <c r="T73" s="182">
        <v>64615.966386554632</v>
      </c>
      <c r="U73" s="179">
        <v>404700.00000000006</v>
      </c>
      <c r="V73" s="191">
        <v>158822.86589433911</v>
      </c>
      <c r="W73" s="182">
        <f t="shared" si="11"/>
        <v>30176.344519924427</v>
      </c>
      <c r="X73" s="179">
        <f t="shared" si="12"/>
        <v>188999.21041426354</v>
      </c>
      <c r="Y73" s="184"/>
      <c r="Z73" s="177">
        <f t="shared" si="13"/>
        <v>190587.43907320692</v>
      </c>
      <c r="AB73" s="179">
        <f>ROUND(AVERAGE(D73,G73,V73),0)</f>
        <v>168607</v>
      </c>
      <c r="AC73" s="179">
        <f>ROUND(STDEVA(D73,G73,V73),0)</f>
        <v>8753</v>
      </c>
      <c r="AD73" s="158">
        <f t="shared" si="4"/>
        <v>5.1913621617133331E-2</v>
      </c>
      <c r="AE73" s="179">
        <f t="shared" si="5"/>
        <v>159854</v>
      </c>
      <c r="AF73" s="179">
        <f t="shared" si="6"/>
        <v>177360</v>
      </c>
      <c r="AH73" s="179">
        <f t="shared" si="14"/>
        <v>171302.52100840336</v>
      </c>
      <c r="AI73" s="179">
        <f t="shared" si="15"/>
        <v>175694.89334195215</v>
      </c>
      <c r="AJ73" s="179" t="str">
        <f t="shared" si="16"/>
        <v/>
      </c>
      <c r="AK73" s="179" t="str">
        <f t="shared" si="17"/>
        <v/>
      </c>
      <c r="AL73" s="179" t="str">
        <f t="shared" si="18"/>
        <v/>
      </c>
      <c r="AM73" s="179" t="str">
        <f t="shared" si="19"/>
        <v/>
      </c>
      <c r="AN73" s="179" t="str">
        <f t="shared" si="20"/>
        <v/>
      </c>
      <c r="AO73" s="179">
        <f t="shared" si="21"/>
        <v>173499</v>
      </c>
      <c r="AQ73" s="186">
        <f t="shared" si="22"/>
        <v>173499</v>
      </c>
      <c r="AR73" s="186">
        <f t="shared" si="23"/>
        <v>32965</v>
      </c>
      <c r="AS73" s="186">
        <f t="shared" si="24"/>
        <v>206464</v>
      </c>
      <c r="AU73" s="191">
        <v>158822.86589433911</v>
      </c>
      <c r="AV73" s="182">
        <f t="shared" si="25"/>
        <v>30176.344519924427</v>
      </c>
      <c r="AW73" s="179">
        <f t="shared" si="26"/>
        <v>188999.21041426354</v>
      </c>
      <c r="AY73" s="158">
        <f t="shared" si="27"/>
        <v>9.240567485682169E-2</v>
      </c>
      <c r="AZ73" s="188" t="str">
        <f t="shared" si="28"/>
        <v>AUMENTO</v>
      </c>
      <c r="BA73" s="159"/>
      <c r="BC73" s="177">
        <v>190587.43907320692</v>
      </c>
      <c r="BE73" s="189">
        <f t="shared" si="29"/>
        <v>34700</v>
      </c>
      <c r="BF73" s="190">
        <f t="shared" si="30"/>
        <v>208199</v>
      </c>
      <c r="BG73" s="190">
        <f t="shared" si="31"/>
        <v>208199</v>
      </c>
    </row>
    <row r="74" spans="1:59" s="166" customFormat="1" ht="24" x14ac:dyDescent="0.2">
      <c r="A74" s="172">
        <v>62</v>
      </c>
      <c r="B74" s="173" t="s">
        <v>175</v>
      </c>
      <c r="C74" s="174" t="s">
        <v>3</v>
      </c>
      <c r="D74" s="175">
        <f t="shared" si="7"/>
        <v>98193.277310924372</v>
      </c>
      <c r="E74" s="176">
        <f t="shared" si="8"/>
        <v>18656.722689075632</v>
      </c>
      <c r="F74" s="177">
        <v>116850</v>
      </c>
      <c r="G74" s="175">
        <v>100711.05365223013</v>
      </c>
      <c r="H74" s="178">
        <v>19135.100193923725</v>
      </c>
      <c r="I74" s="179">
        <v>119846.15384615384</v>
      </c>
      <c r="J74" s="180">
        <v>90666.666666666672</v>
      </c>
      <c r="K74" s="178">
        <f t="shared" si="9"/>
        <v>17226.666666666668</v>
      </c>
      <c r="L74" s="179">
        <f t="shared" si="10"/>
        <v>107893.33333333334</v>
      </c>
      <c r="M74" s="181">
        <v>234000</v>
      </c>
      <c r="N74" s="198">
        <v>44460</v>
      </c>
      <c r="O74" s="181">
        <v>278460</v>
      </c>
      <c r="P74" s="181">
        <v>130924</v>
      </c>
      <c r="Q74" s="198">
        <v>24875.56</v>
      </c>
      <c r="R74" s="181">
        <v>155799.56</v>
      </c>
      <c r="S74" s="181">
        <v>196386.55462184874</v>
      </c>
      <c r="T74" s="182">
        <v>37313.445378151264</v>
      </c>
      <c r="U74" s="179">
        <v>233700</v>
      </c>
      <c r="V74" s="191">
        <v>87349.145312439621</v>
      </c>
      <c r="W74" s="182">
        <f t="shared" si="11"/>
        <v>16596.337609363531</v>
      </c>
      <c r="X74" s="179">
        <f t="shared" si="12"/>
        <v>103945.48292180315</v>
      </c>
      <c r="Y74" s="184"/>
      <c r="Z74" s="177">
        <f t="shared" si="13"/>
        <v>104818.97437492754</v>
      </c>
      <c r="AB74" s="179">
        <f>ROUND(AVERAGE(D74,G74,J74,V74),0)</f>
        <v>94230</v>
      </c>
      <c r="AC74" s="179">
        <f>ROUND(STDEVA(D74,G74,J74,V74),0)</f>
        <v>6265</v>
      </c>
      <c r="AD74" s="158">
        <f t="shared" si="4"/>
        <v>6.648625703066964E-2</v>
      </c>
      <c r="AE74" s="179">
        <f t="shared" si="5"/>
        <v>87965</v>
      </c>
      <c r="AF74" s="179">
        <f t="shared" si="6"/>
        <v>100495</v>
      </c>
      <c r="AH74" s="179">
        <f t="shared" si="14"/>
        <v>98193.277310924372</v>
      </c>
      <c r="AI74" s="179" t="str">
        <f t="shared" si="15"/>
        <v/>
      </c>
      <c r="AJ74" s="179">
        <f t="shared" si="16"/>
        <v>90666.666666666672</v>
      </c>
      <c r="AK74" s="179" t="str">
        <f t="shared" si="17"/>
        <v/>
      </c>
      <c r="AL74" s="179" t="str">
        <f t="shared" si="18"/>
        <v/>
      </c>
      <c r="AM74" s="179" t="str">
        <f t="shared" si="19"/>
        <v/>
      </c>
      <c r="AN74" s="179" t="str">
        <f t="shared" si="20"/>
        <v/>
      </c>
      <c r="AO74" s="179">
        <f t="shared" si="21"/>
        <v>94430</v>
      </c>
      <c r="AQ74" s="186">
        <f t="shared" si="22"/>
        <v>94430</v>
      </c>
      <c r="AR74" s="186">
        <f t="shared" si="23"/>
        <v>17942</v>
      </c>
      <c r="AS74" s="186">
        <f t="shared" si="24"/>
        <v>112372</v>
      </c>
      <c r="AU74" s="191">
        <v>87349.145312439621</v>
      </c>
      <c r="AV74" s="182">
        <f t="shared" si="25"/>
        <v>16596.337609363531</v>
      </c>
      <c r="AW74" s="179">
        <f t="shared" si="26"/>
        <v>103945.48292180315</v>
      </c>
      <c r="AY74" s="158">
        <f t="shared" si="27"/>
        <v>8.1063811926640292E-2</v>
      </c>
      <c r="AZ74" s="188" t="str">
        <f t="shared" si="28"/>
        <v>AUMENTO</v>
      </c>
      <c r="BA74" s="159"/>
      <c r="BC74" s="177">
        <v>104818.97437492754</v>
      </c>
      <c r="BE74" s="189">
        <f t="shared" si="29"/>
        <v>18886</v>
      </c>
      <c r="BF74" s="190">
        <f t="shared" si="30"/>
        <v>113316</v>
      </c>
      <c r="BG74" s="190">
        <f t="shared" si="31"/>
        <v>113316</v>
      </c>
    </row>
    <row r="75" spans="1:59" s="166" customFormat="1" ht="24" x14ac:dyDescent="0.2">
      <c r="A75" s="172">
        <v>63</v>
      </c>
      <c r="B75" s="173" t="s">
        <v>228</v>
      </c>
      <c r="C75" s="174" t="s">
        <v>39</v>
      </c>
      <c r="D75" s="181">
        <f t="shared" si="7"/>
        <v>13235.294117647059</v>
      </c>
      <c r="E75" s="176">
        <f t="shared" si="8"/>
        <v>2514.7058823529414</v>
      </c>
      <c r="F75" s="177">
        <v>15750</v>
      </c>
      <c r="G75" s="175">
        <v>175694.89334195215</v>
      </c>
      <c r="H75" s="178">
        <v>33382.029734970907</v>
      </c>
      <c r="I75" s="179">
        <v>209076.92307692306</v>
      </c>
      <c r="J75" s="180">
        <v>141333.33333333334</v>
      </c>
      <c r="K75" s="178">
        <f t="shared" si="9"/>
        <v>26853.333333333336</v>
      </c>
      <c r="L75" s="179">
        <f t="shared" si="10"/>
        <v>168186.66666666669</v>
      </c>
      <c r="M75" s="181">
        <v>570000</v>
      </c>
      <c r="N75" s="198">
        <v>108300</v>
      </c>
      <c r="O75" s="181">
        <v>678300</v>
      </c>
      <c r="P75" s="181">
        <v>267000</v>
      </c>
      <c r="Q75" s="198">
        <v>50730</v>
      </c>
      <c r="R75" s="181">
        <v>317730</v>
      </c>
      <c r="S75" s="181">
        <v>336554.62184873951</v>
      </c>
      <c r="T75" s="182">
        <v>63945.378151260506</v>
      </c>
      <c r="U75" s="179">
        <v>400500</v>
      </c>
      <c r="V75" s="191">
        <v>167383.23388837592</v>
      </c>
      <c r="W75" s="182">
        <f t="shared" si="11"/>
        <v>31802.814438791425</v>
      </c>
      <c r="X75" s="179">
        <f t="shared" si="12"/>
        <v>199186.04832716734</v>
      </c>
      <c r="Y75" s="184"/>
      <c r="Z75" s="177">
        <f t="shared" si="13"/>
        <v>200859.88066605109</v>
      </c>
      <c r="AB75" s="179">
        <f>ROUND(AVERAGE(G75,J75,V75),0)</f>
        <v>161470</v>
      </c>
      <c r="AC75" s="179">
        <f>ROUND(STDEVA(G75,J75,V75),0)</f>
        <v>17928</v>
      </c>
      <c r="AD75" s="158">
        <f t="shared" si="4"/>
        <v>0.11102991267727751</v>
      </c>
      <c r="AE75" s="179">
        <f t="shared" si="5"/>
        <v>143542</v>
      </c>
      <c r="AF75" s="179">
        <f t="shared" si="6"/>
        <v>179398</v>
      </c>
      <c r="AH75" s="179" t="str">
        <f t="shared" si="14"/>
        <v/>
      </c>
      <c r="AI75" s="179">
        <f t="shared" si="15"/>
        <v>175694.89334195215</v>
      </c>
      <c r="AJ75" s="179" t="str">
        <f t="shared" si="16"/>
        <v/>
      </c>
      <c r="AK75" s="179" t="str">
        <f t="shared" si="17"/>
        <v/>
      </c>
      <c r="AL75" s="179" t="str">
        <f t="shared" si="18"/>
        <v/>
      </c>
      <c r="AM75" s="179" t="str">
        <f t="shared" si="19"/>
        <v/>
      </c>
      <c r="AN75" s="179">
        <f t="shared" si="20"/>
        <v>167383.23388837592</v>
      </c>
      <c r="AO75" s="179">
        <f t="shared" si="21"/>
        <v>171539</v>
      </c>
      <c r="AQ75" s="186">
        <f t="shared" si="22"/>
        <v>171539</v>
      </c>
      <c r="AR75" s="186">
        <f t="shared" si="23"/>
        <v>32592</v>
      </c>
      <c r="AS75" s="186">
        <f t="shared" si="24"/>
        <v>204131</v>
      </c>
      <c r="AU75" s="191">
        <v>167383.23388837592</v>
      </c>
      <c r="AV75" s="182">
        <f t="shared" si="25"/>
        <v>31802.814438791425</v>
      </c>
      <c r="AW75" s="179">
        <f t="shared" si="26"/>
        <v>199186.04832716734</v>
      </c>
      <c r="AY75" s="158">
        <f t="shared" si="27"/>
        <v>2.4827851721370517E-2</v>
      </c>
      <c r="AZ75" s="188" t="str">
        <f t="shared" si="28"/>
        <v>AUMENTO</v>
      </c>
      <c r="BA75" s="159"/>
      <c r="BC75" s="177">
        <v>200859.88066605109</v>
      </c>
      <c r="BE75" s="189">
        <f t="shared" si="29"/>
        <v>34308</v>
      </c>
      <c r="BF75" s="190">
        <f t="shared" si="30"/>
        <v>205847</v>
      </c>
      <c r="BG75" s="190">
        <f t="shared" si="31"/>
        <v>205847</v>
      </c>
    </row>
    <row r="76" spans="1:59" s="166" customFormat="1" ht="12" x14ac:dyDescent="0.2">
      <c r="A76" s="172">
        <v>64</v>
      </c>
      <c r="B76" s="173" t="s">
        <v>176</v>
      </c>
      <c r="C76" s="174" t="s">
        <v>3</v>
      </c>
      <c r="D76" s="175">
        <f t="shared" si="7"/>
        <v>21302.521008403361</v>
      </c>
      <c r="E76" s="176">
        <f t="shared" si="8"/>
        <v>4047.4789915966385</v>
      </c>
      <c r="F76" s="177">
        <v>25350</v>
      </c>
      <c r="G76" s="175">
        <v>21848.73949579832</v>
      </c>
      <c r="H76" s="178">
        <v>4151.2605042016812</v>
      </c>
      <c r="I76" s="179">
        <v>26000</v>
      </c>
      <c r="J76" s="180">
        <v>20266.666666666668</v>
      </c>
      <c r="K76" s="178">
        <f t="shared" si="9"/>
        <v>3850.666666666667</v>
      </c>
      <c r="L76" s="179">
        <f t="shared" si="10"/>
        <v>24117.333333333336</v>
      </c>
      <c r="M76" s="181">
        <v>51000</v>
      </c>
      <c r="N76" s="182">
        <v>9690</v>
      </c>
      <c r="O76" s="179">
        <v>60690</v>
      </c>
      <c r="P76" s="181">
        <v>15483</v>
      </c>
      <c r="Q76" s="182">
        <v>2941.77</v>
      </c>
      <c r="R76" s="179">
        <v>18424.77</v>
      </c>
      <c r="S76" s="181">
        <v>42605.042016806721</v>
      </c>
      <c r="T76" s="182">
        <v>8094.957983193277</v>
      </c>
      <c r="U76" s="179">
        <v>50700</v>
      </c>
      <c r="V76" s="199">
        <v>16300.292923093661</v>
      </c>
      <c r="W76" s="182">
        <f t="shared" si="11"/>
        <v>3097.0556553877955</v>
      </c>
      <c r="X76" s="179">
        <f t="shared" si="12"/>
        <v>19397.348578481455</v>
      </c>
      <c r="Y76" s="184"/>
      <c r="Z76" s="177">
        <f t="shared" si="13"/>
        <v>19560.351507712392</v>
      </c>
      <c r="AB76" s="179">
        <f>ROUND(AVERAGE(D76,G76,J76),0)</f>
        <v>21139</v>
      </c>
      <c r="AC76" s="179">
        <f>ROUND(STDEVA(D76,G76,J76),0)</f>
        <v>804</v>
      </c>
      <c r="AD76" s="158">
        <f t="shared" si="4"/>
        <v>3.8033965655896687E-2</v>
      </c>
      <c r="AE76" s="179">
        <f t="shared" si="5"/>
        <v>20335</v>
      </c>
      <c r="AF76" s="179">
        <f t="shared" si="6"/>
        <v>21943</v>
      </c>
      <c r="AH76" s="179">
        <f t="shared" si="14"/>
        <v>21302.521008403361</v>
      </c>
      <c r="AI76" s="179">
        <f t="shared" si="15"/>
        <v>21848.73949579832</v>
      </c>
      <c r="AJ76" s="179" t="str">
        <f t="shared" si="16"/>
        <v/>
      </c>
      <c r="AK76" s="179" t="str">
        <f t="shared" si="17"/>
        <v/>
      </c>
      <c r="AL76" s="179" t="str">
        <f t="shared" si="18"/>
        <v/>
      </c>
      <c r="AM76" s="179" t="str">
        <f t="shared" si="19"/>
        <v/>
      </c>
      <c r="AN76" s="179" t="str">
        <f t="shared" si="20"/>
        <v/>
      </c>
      <c r="AO76" s="179">
        <f t="shared" si="21"/>
        <v>21576</v>
      </c>
      <c r="AQ76" s="186">
        <f t="shared" si="22"/>
        <v>21576</v>
      </c>
      <c r="AR76" s="186">
        <f t="shared" si="23"/>
        <v>4099</v>
      </c>
      <c r="AS76" s="186">
        <f t="shared" si="24"/>
        <v>25675</v>
      </c>
      <c r="AU76" s="191">
        <v>16300.292923093661</v>
      </c>
      <c r="AV76" s="182">
        <f t="shared" si="25"/>
        <v>3097.0556553877955</v>
      </c>
      <c r="AW76" s="179">
        <f t="shared" si="26"/>
        <v>19397.348578481455</v>
      </c>
      <c r="AY76" s="158">
        <f t="shared" si="27"/>
        <v>0.32365719449322961</v>
      </c>
      <c r="AZ76" s="188" t="str">
        <f t="shared" si="28"/>
        <v>AUMENTO</v>
      </c>
      <c r="BA76" s="159"/>
      <c r="BC76" s="177">
        <v>19560.351507712392</v>
      </c>
      <c r="BE76" s="189">
        <f t="shared" si="29"/>
        <v>4315</v>
      </c>
      <c r="BF76" s="190">
        <f t="shared" si="30"/>
        <v>25891</v>
      </c>
      <c r="BG76" s="190">
        <f t="shared" si="31"/>
        <v>25891</v>
      </c>
    </row>
    <row r="77" spans="1:59" s="166" customFormat="1" ht="24" x14ac:dyDescent="0.2">
      <c r="A77" s="172">
        <v>65</v>
      </c>
      <c r="B77" s="173" t="s">
        <v>177</v>
      </c>
      <c r="C77" s="174" t="s">
        <v>3</v>
      </c>
      <c r="D77" s="175">
        <f t="shared" si="7"/>
        <v>9453.7815126050427</v>
      </c>
      <c r="E77" s="176">
        <f t="shared" si="8"/>
        <v>1796.2184873949582</v>
      </c>
      <c r="F77" s="177">
        <v>11250</v>
      </c>
      <c r="G77" s="175">
        <v>9696.1861667744015</v>
      </c>
      <c r="H77" s="178">
        <v>1842.2753716871364</v>
      </c>
      <c r="I77" s="179">
        <v>11538.461538461537</v>
      </c>
      <c r="J77" s="180">
        <v>9600</v>
      </c>
      <c r="K77" s="178">
        <f t="shared" si="9"/>
        <v>1824</v>
      </c>
      <c r="L77" s="179">
        <f t="shared" si="10"/>
        <v>11424</v>
      </c>
      <c r="M77" s="181">
        <v>24000</v>
      </c>
      <c r="N77" s="182">
        <v>4560</v>
      </c>
      <c r="O77" s="179">
        <v>28560</v>
      </c>
      <c r="P77" s="175">
        <v>12605</v>
      </c>
      <c r="Q77" s="182">
        <v>2394.9499999999998</v>
      </c>
      <c r="R77" s="179">
        <v>14999.95</v>
      </c>
      <c r="S77" s="181">
        <v>18907.563025210085</v>
      </c>
      <c r="T77" s="182">
        <v>3592.4369747899163</v>
      </c>
      <c r="U77" s="179">
        <v>22500</v>
      </c>
      <c r="V77" s="199">
        <v>7407.0630112272966</v>
      </c>
      <c r="W77" s="182">
        <f t="shared" si="11"/>
        <v>1407.3419721331863</v>
      </c>
      <c r="X77" s="179">
        <f t="shared" si="12"/>
        <v>8814.4049833604822</v>
      </c>
      <c r="Y77" s="184"/>
      <c r="Z77" s="177">
        <f t="shared" si="13"/>
        <v>8888.4756134727559</v>
      </c>
      <c r="AB77" s="179">
        <f>ROUND(AVERAGE(D77,G77,J77),0)</f>
        <v>9583</v>
      </c>
      <c r="AC77" s="179">
        <f>ROUND(STDEVA(D77,G77,J77),0)</f>
        <v>122</v>
      </c>
      <c r="AD77" s="158">
        <f t="shared" ref="AD77:AD96" si="32">+AC77/AB77</f>
        <v>1.273087759574246E-2</v>
      </c>
      <c r="AE77" s="179">
        <f t="shared" ref="AE77:AE96" si="33">+ROUND(AB77-AC77,0)</f>
        <v>9461</v>
      </c>
      <c r="AF77" s="179">
        <f t="shared" ref="AF77:AF96" si="34">+ROUND(AB77+AC77,0)</f>
        <v>9705</v>
      </c>
      <c r="AH77" s="179" t="str">
        <f t="shared" si="14"/>
        <v/>
      </c>
      <c r="AI77" s="179">
        <f t="shared" si="15"/>
        <v>9696.1861667744015</v>
      </c>
      <c r="AJ77" s="179">
        <f t="shared" si="16"/>
        <v>9600</v>
      </c>
      <c r="AK77" s="179" t="str">
        <f t="shared" si="17"/>
        <v/>
      </c>
      <c r="AL77" s="179" t="str">
        <f t="shared" si="18"/>
        <v/>
      </c>
      <c r="AM77" s="179" t="str">
        <f t="shared" si="19"/>
        <v/>
      </c>
      <c r="AN77" s="179" t="str">
        <f t="shared" si="20"/>
        <v/>
      </c>
      <c r="AO77" s="179">
        <f t="shared" si="21"/>
        <v>9648</v>
      </c>
      <c r="AQ77" s="186">
        <f t="shared" si="22"/>
        <v>9648</v>
      </c>
      <c r="AR77" s="186">
        <f t="shared" si="23"/>
        <v>1833</v>
      </c>
      <c r="AS77" s="186">
        <f t="shared" si="24"/>
        <v>11481</v>
      </c>
      <c r="AU77" s="191">
        <v>7407.0630112272966</v>
      </c>
      <c r="AV77" s="182">
        <f t="shared" si="25"/>
        <v>1407.3419721331863</v>
      </c>
      <c r="AW77" s="179">
        <f t="shared" si="26"/>
        <v>8814.4049833604822</v>
      </c>
      <c r="AY77" s="158">
        <f t="shared" si="27"/>
        <v>0.30254055964907967</v>
      </c>
      <c r="AZ77" s="188" t="str">
        <f t="shared" si="28"/>
        <v>AUMENTO</v>
      </c>
      <c r="BA77" s="159"/>
      <c r="BC77" s="177">
        <v>8888.4756134727559</v>
      </c>
      <c r="BE77" s="189">
        <f t="shared" si="29"/>
        <v>1930</v>
      </c>
      <c r="BF77" s="190">
        <f t="shared" si="30"/>
        <v>11578</v>
      </c>
      <c r="BG77" s="190">
        <f t="shared" si="31"/>
        <v>11578</v>
      </c>
    </row>
    <row r="78" spans="1:59" s="166" customFormat="1" ht="12" x14ac:dyDescent="0.2">
      <c r="A78" s="172">
        <v>66</v>
      </c>
      <c r="B78" s="173" t="s">
        <v>230</v>
      </c>
      <c r="C78" s="174" t="s">
        <v>3</v>
      </c>
      <c r="D78" s="175">
        <f t="shared" ref="D78:D96" si="35">+F78/1.19</f>
        <v>28361.344537815126</v>
      </c>
      <c r="E78" s="176">
        <f t="shared" ref="E78:E96" si="36">+D78*0.19</f>
        <v>5388.6554621848745</v>
      </c>
      <c r="F78" s="177">
        <v>33750</v>
      </c>
      <c r="G78" s="181">
        <v>56755.009696186164</v>
      </c>
      <c r="H78" s="178">
        <v>10783.451842275372</v>
      </c>
      <c r="I78" s="179">
        <v>67538.461538461532</v>
      </c>
      <c r="J78" s="180">
        <v>26133.333333333332</v>
      </c>
      <c r="K78" s="178">
        <f t="shared" ref="K78:K96" si="37">+J78*19/100</f>
        <v>4965.333333333333</v>
      </c>
      <c r="L78" s="179">
        <f t="shared" ref="L78:L96" si="38">+K78+J78</f>
        <v>31098.666666666664</v>
      </c>
      <c r="M78" s="181">
        <v>87000</v>
      </c>
      <c r="N78" s="182">
        <v>16530</v>
      </c>
      <c r="O78" s="179">
        <v>103530</v>
      </c>
      <c r="P78" s="181">
        <v>72269</v>
      </c>
      <c r="Q78" s="182">
        <v>13731.11</v>
      </c>
      <c r="R78" s="179">
        <v>86000.11</v>
      </c>
      <c r="S78" s="181">
        <v>52689.075630252104</v>
      </c>
      <c r="T78" s="182">
        <v>10010.9243697479</v>
      </c>
      <c r="U78" s="179">
        <v>62700</v>
      </c>
      <c r="V78" s="191">
        <v>20994.553111822977</v>
      </c>
      <c r="W78" s="182">
        <f t="shared" ref="W78:W96" si="39">+V78*19/100</f>
        <v>3988.9650912463658</v>
      </c>
      <c r="X78" s="179">
        <f t="shared" ref="X78:X96" si="40">+W78+V78</f>
        <v>24983.518203069343</v>
      </c>
      <c r="Y78" s="184"/>
      <c r="Z78" s="177">
        <f t="shared" ref="Z78:Z96" si="41">+V78*1.2</f>
        <v>25193.463734187571</v>
      </c>
      <c r="AB78" s="179">
        <f>ROUND(AVERAGE(D78,J78,V78),0)</f>
        <v>25163</v>
      </c>
      <c r="AC78" s="179">
        <f>ROUND(STDEVA(D78,J78,V78),0)</f>
        <v>3778</v>
      </c>
      <c r="AD78" s="158">
        <f t="shared" si="32"/>
        <v>0.15014108015737393</v>
      </c>
      <c r="AE78" s="179">
        <f t="shared" si="33"/>
        <v>21385</v>
      </c>
      <c r="AF78" s="179">
        <f t="shared" si="34"/>
        <v>28941</v>
      </c>
      <c r="AH78" s="179">
        <f t="shared" ref="AH78:AH96" si="42">IF(AND(D78&gt;$AE78,D78&lt;$AF78),D78,"")</f>
        <v>28361.344537815126</v>
      </c>
      <c r="AI78" s="179" t="str">
        <f t="shared" ref="AI78:AI96" si="43">IF(AND(G78&gt;$AE78,G78&lt;$AF78),G78,"")</f>
        <v/>
      </c>
      <c r="AJ78" s="179">
        <f t="shared" ref="AJ78:AJ96" si="44">IF(AND(J78&gt;$AE78,J78&lt;$AF78),J78,"")</f>
        <v>26133.333333333332</v>
      </c>
      <c r="AK78" s="179" t="str">
        <f t="shared" ref="AK78:AK96" si="45">IF(AND(M78&gt;$AE78,M78&lt;$AF78),M78,"")</f>
        <v/>
      </c>
      <c r="AL78" s="179" t="str">
        <f t="shared" ref="AL78:AL96" si="46">IF(AND(P78&gt;$AE78,P78&lt;$AF78),P78,"")</f>
        <v/>
      </c>
      <c r="AM78" s="179" t="str">
        <f t="shared" ref="AM78:AM96" si="47">IF(AND(S78&gt;$AE78,S78&lt;$AF78),S78,"")</f>
        <v/>
      </c>
      <c r="AN78" s="179" t="str">
        <f t="shared" ref="AN78:AN96" si="48">IF(AND(V78&gt;$AE78,V78&lt;$AF78),V78,"")</f>
        <v/>
      </c>
      <c r="AO78" s="179">
        <f t="shared" ref="AO78:AO96" si="49">ROUND(AVERAGE(AH78:AN78),0)</f>
        <v>27247</v>
      </c>
      <c r="AQ78" s="186">
        <f t="shared" ref="AQ78:AQ96" si="50">+AO78</f>
        <v>27247</v>
      </c>
      <c r="AR78" s="186">
        <f t="shared" ref="AR78:AR96" si="51">ROUND((AQ78*19%),0)</f>
        <v>5177</v>
      </c>
      <c r="AS78" s="186">
        <f t="shared" ref="AS78:AS96" si="52">+AR78+AQ78</f>
        <v>32424</v>
      </c>
      <c r="AU78" s="191">
        <v>20994.553111822977</v>
      </c>
      <c r="AV78" s="182">
        <f t="shared" ref="AV78:AV96" si="53">+AU78*19/100</f>
        <v>3988.9650912463658</v>
      </c>
      <c r="AW78" s="179">
        <f t="shared" ref="AW78:AW96" si="54">+AV78+AU78</f>
        <v>24983.518203069343</v>
      </c>
      <c r="AY78" s="158">
        <f t="shared" ref="AY78:AY96" si="55">+(AQ78-AU78)/AU78</f>
        <v>0.29781281148851835</v>
      </c>
      <c r="AZ78" s="188" t="str">
        <f t="shared" ref="AZ78:AZ96" si="56">+IF(AND(AU78&gt;AQ78,AU78&lt;AQ78),"BAJO","AUMENTO")</f>
        <v>AUMENTO</v>
      </c>
      <c r="BA78" s="159"/>
      <c r="BC78" s="177">
        <v>25193.463734187571</v>
      </c>
      <c r="BE78" s="189">
        <f t="shared" ref="BE78:BE96" si="57">+ROUND(AQ78*$BG$10,0)</f>
        <v>5449</v>
      </c>
      <c r="BF78" s="190">
        <f t="shared" ref="BF78:BF96" si="58">+BE78+AQ78</f>
        <v>32696</v>
      </c>
      <c r="BG78" s="190">
        <f t="shared" ref="BG78:BG96" si="59">+ROUND((AQ78*$BG$10)+AQ78,0)</f>
        <v>32696</v>
      </c>
    </row>
    <row r="79" spans="1:59" s="166" customFormat="1" ht="12" x14ac:dyDescent="0.2">
      <c r="A79" s="172">
        <v>67</v>
      </c>
      <c r="B79" s="173" t="s">
        <v>179</v>
      </c>
      <c r="C79" s="174" t="s">
        <v>238</v>
      </c>
      <c r="D79" s="175">
        <f t="shared" si="35"/>
        <v>3907.5630252100841</v>
      </c>
      <c r="E79" s="176">
        <f t="shared" si="36"/>
        <v>742.43697478991601</v>
      </c>
      <c r="F79" s="177">
        <v>4650</v>
      </c>
      <c r="G79" s="175">
        <v>4137.0394311570781</v>
      </c>
      <c r="H79" s="178">
        <v>786.0374919198448</v>
      </c>
      <c r="I79" s="179">
        <v>4923.0769230769229</v>
      </c>
      <c r="J79" s="180">
        <v>3733.3333333333335</v>
      </c>
      <c r="K79" s="178">
        <f t="shared" si="37"/>
        <v>709.33333333333348</v>
      </c>
      <c r="L79" s="179">
        <f t="shared" si="38"/>
        <v>4442.666666666667</v>
      </c>
      <c r="M79" s="181">
        <v>15000</v>
      </c>
      <c r="N79" s="198">
        <v>2850</v>
      </c>
      <c r="O79" s="181">
        <v>17850</v>
      </c>
      <c r="P79" s="181">
        <v>5210</v>
      </c>
      <c r="Q79" s="198">
        <v>989.9</v>
      </c>
      <c r="R79" s="181">
        <v>6199.9</v>
      </c>
      <c r="S79" s="181">
        <v>7815.1260504201682</v>
      </c>
      <c r="T79" s="198">
        <v>1484.873949579832</v>
      </c>
      <c r="U79" s="181">
        <v>9300</v>
      </c>
      <c r="V79" s="199">
        <v>676.86555390237049</v>
      </c>
      <c r="W79" s="182">
        <f t="shared" si="39"/>
        <v>128.60445524145041</v>
      </c>
      <c r="X79" s="179">
        <f t="shared" si="40"/>
        <v>805.4700091438209</v>
      </c>
      <c r="Y79" s="184"/>
      <c r="Z79" s="177">
        <f t="shared" si="41"/>
        <v>812.23866468284461</v>
      </c>
      <c r="AB79" s="179">
        <f>ROUND(AVERAGE(D79,G79,J79),0)</f>
        <v>3926</v>
      </c>
      <c r="AC79" s="179">
        <f>ROUND(STDEVA(D79,G79,J79),0)</f>
        <v>202</v>
      </c>
      <c r="AD79" s="158">
        <f t="shared" si="32"/>
        <v>5.1451859398879266E-2</v>
      </c>
      <c r="AE79" s="179">
        <f t="shared" si="33"/>
        <v>3724</v>
      </c>
      <c r="AF79" s="179">
        <f t="shared" si="34"/>
        <v>4128</v>
      </c>
      <c r="AH79" s="179">
        <f t="shared" si="42"/>
        <v>3907.5630252100841</v>
      </c>
      <c r="AI79" s="179" t="str">
        <f t="shared" si="43"/>
        <v/>
      </c>
      <c r="AJ79" s="179">
        <f t="shared" si="44"/>
        <v>3733.3333333333335</v>
      </c>
      <c r="AK79" s="179" t="str">
        <f t="shared" si="45"/>
        <v/>
      </c>
      <c r="AL79" s="179" t="str">
        <f t="shared" si="46"/>
        <v/>
      </c>
      <c r="AM79" s="179" t="str">
        <f t="shared" si="47"/>
        <v/>
      </c>
      <c r="AN79" s="179" t="str">
        <f t="shared" si="48"/>
        <v/>
      </c>
      <c r="AO79" s="179">
        <f t="shared" si="49"/>
        <v>3820</v>
      </c>
      <c r="AQ79" s="186">
        <f t="shared" si="50"/>
        <v>3820</v>
      </c>
      <c r="AR79" s="186">
        <f t="shared" si="51"/>
        <v>726</v>
      </c>
      <c r="AS79" s="186">
        <f t="shared" si="52"/>
        <v>4546</v>
      </c>
      <c r="AU79" s="191">
        <v>676.86555390237049</v>
      </c>
      <c r="AV79" s="182">
        <f t="shared" si="53"/>
        <v>128.60445524145041</v>
      </c>
      <c r="AW79" s="179">
        <f t="shared" si="54"/>
        <v>805.4700091438209</v>
      </c>
      <c r="AY79" s="158">
        <f t="shared" si="55"/>
        <v>4.6436614006671526</v>
      </c>
      <c r="AZ79" s="188" t="str">
        <f t="shared" si="56"/>
        <v>AUMENTO</v>
      </c>
      <c r="BA79" s="159"/>
      <c r="BC79" s="177">
        <v>812.23866468284461</v>
      </c>
      <c r="BE79" s="189">
        <f t="shared" si="57"/>
        <v>764</v>
      </c>
      <c r="BF79" s="190">
        <f t="shared" si="58"/>
        <v>4584</v>
      </c>
      <c r="BG79" s="190">
        <f t="shared" si="59"/>
        <v>4584</v>
      </c>
    </row>
    <row r="80" spans="1:59" s="166" customFormat="1" ht="12" x14ac:dyDescent="0.2">
      <c r="A80" s="172">
        <v>68</v>
      </c>
      <c r="B80" s="173" t="s">
        <v>186</v>
      </c>
      <c r="C80" s="174" t="s">
        <v>3</v>
      </c>
      <c r="D80" s="181">
        <f t="shared" si="35"/>
        <v>503571.42857142858</v>
      </c>
      <c r="E80" s="176">
        <f t="shared" si="36"/>
        <v>95678.571428571435</v>
      </c>
      <c r="F80" s="177">
        <v>599250</v>
      </c>
      <c r="G80" s="181">
        <v>268778.28054298641</v>
      </c>
      <c r="H80" s="178">
        <v>51067.87330316742</v>
      </c>
      <c r="I80" s="179">
        <v>319846.15384615381</v>
      </c>
      <c r="J80" s="192">
        <v>44266.666666666664</v>
      </c>
      <c r="K80" s="178">
        <f t="shared" si="37"/>
        <v>8410.6666666666661</v>
      </c>
      <c r="L80" s="179">
        <f t="shared" si="38"/>
        <v>52677.333333333328</v>
      </c>
      <c r="M80" s="181">
        <v>621000</v>
      </c>
      <c r="N80" s="182">
        <v>117990</v>
      </c>
      <c r="O80" s="179">
        <v>738990</v>
      </c>
      <c r="P80" s="175">
        <v>336078</v>
      </c>
      <c r="Q80" s="182">
        <v>63854.82</v>
      </c>
      <c r="R80" s="179">
        <v>399932.82</v>
      </c>
      <c r="S80" s="181">
        <v>86931.932773109249</v>
      </c>
      <c r="T80" s="182">
        <v>16517.067226890758</v>
      </c>
      <c r="U80" s="179">
        <v>103449</v>
      </c>
      <c r="V80" s="191">
        <v>333750.02918533242</v>
      </c>
      <c r="W80" s="182">
        <f t="shared" si="39"/>
        <v>63412.505545213156</v>
      </c>
      <c r="X80" s="179">
        <f t="shared" si="40"/>
        <v>397162.53473054559</v>
      </c>
      <c r="Y80" s="184"/>
      <c r="Z80" s="177">
        <f t="shared" si="41"/>
        <v>400500.03502239886</v>
      </c>
      <c r="AB80" s="179">
        <f>ROUND(AVERAGE(P80,V80),0)</f>
        <v>334914</v>
      </c>
      <c r="AC80" s="179">
        <f>ROUND(STDEVA(P80,V80),0)</f>
        <v>1646</v>
      </c>
      <c r="AD80" s="158">
        <f t="shared" si="32"/>
        <v>4.9146945185928326E-3</v>
      </c>
      <c r="AE80" s="179">
        <f t="shared" si="33"/>
        <v>333268</v>
      </c>
      <c r="AF80" s="179">
        <f t="shared" si="34"/>
        <v>336560</v>
      </c>
      <c r="AH80" s="179" t="str">
        <f t="shared" si="42"/>
        <v/>
      </c>
      <c r="AI80" s="179" t="str">
        <f t="shared" si="43"/>
        <v/>
      </c>
      <c r="AJ80" s="179" t="str">
        <f t="shared" si="44"/>
        <v/>
      </c>
      <c r="AK80" s="179" t="str">
        <f t="shared" si="45"/>
        <v/>
      </c>
      <c r="AL80" s="179">
        <f t="shared" si="46"/>
        <v>336078</v>
      </c>
      <c r="AM80" s="179" t="str">
        <f t="shared" si="47"/>
        <v/>
      </c>
      <c r="AN80" s="179">
        <f t="shared" si="48"/>
        <v>333750.02918533242</v>
      </c>
      <c r="AO80" s="179">
        <f t="shared" si="49"/>
        <v>334914</v>
      </c>
      <c r="AQ80" s="186">
        <f t="shared" si="50"/>
        <v>334914</v>
      </c>
      <c r="AR80" s="186">
        <f t="shared" si="51"/>
        <v>63634</v>
      </c>
      <c r="AS80" s="186">
        <f t="shared" si="52"/>
        <v>398548</v>
      </c>
      <c r="AU80" s="191">
        <v>333750.02918533242</v>
      </c>
      <c r="AV80" s="182">
        <f t="shared" si="53"/>
        <v>63412.505545213156</v>
      </c>
      <c r="AW80" s="179">
        <f t="shared" si="54"/>
        <v>397162.53473054559</v>
      </c>
      <c r="AY80" s="158">
        <f t="shared" si="55"/>
        <v>3.4875526977743792E-3</v>
      </c>
      <c r="AZ80" s="188" t="str">
        <f t="shared" si="56"/>
        <v>AUMENTO</v>
      </c>
      <c r="BA80" s="159"/>
      <c r="BC80" s="177">
        <v>400500.03502239886</v>
      </c>
      <c r="BE80" s="189">
        <f t="shared" si="57"/>
        <v>66983</v>
      </c>
      <c r="BF80" s="190">
        <f t="shared" si="58"/>
        <v>401897</v>
      </c>
      <c r="BG80" s="190">
        <f t="shared" si="59"/>
        <v>401897</v>
      </c>
    </row>
    <row r="81" spans="1:59" s="166" customFormat="1" ht="12" x14ac:dyDescent="0.2">
      <c r="A81" s="172">
        <v>69</v>
      </c>
      <c r="B81" s="173" t="s">
        <v>187</v>
      </c>
      <c r="C81" s="174" t="s">
        <v>3</v>
      </c>
      <c r="D81" s="175">
        <f t="shared" si="35"/>
        <v>3277.3109243697481</v>
      </c>
      <c r="E81" s="176">
        <f t="shared" si="36"/>
        <v>622.6890756302522</v>
      </c>
      <c r="F81" s="177">
        <v>3900</v>
      </c>
      <c r="G81" s="175">
        <v>3749.1919844861018</v>
      </c>
      <c r="H81" s="178">
        <v>712.34647705235932</v>
      </c>
      <c r="I81" s="179">
        <v>4461.538461538461</v>
      </c>
      <c r="J81" s="192">
        <v>4933.333333333333</v>
      </c>
      <c r="K81" s="178">
        <f t="shared" si="37"/>
        <v>937.33333333333326</v>
      </c>
      <c r="L81" s="179">
        <f t="shared" si="38"/>
        <v>5870.6666666666661</v>
      </c>
      <c r="M81" s="181">
        <v>9000</v>
      </c>
      <c r="N81" s="182">
        <v>1710</v>
      </c>
      <c r="O81" s="179">
        <v>10710</v>
      </c>
      <c r="P81" s="181">
        <v>5200</v>
      </c>
      <c r="Q81" s="182">
        <v>988</v>
      </c>
      <c r="R81" s="179">
        <v>6188</v>
      </c>
      <c r="S81" s="181">
        <v>6554.6218487394963</v>
      </c>
      <c r="T81" s="182">
        <v>1245.3781512605044</v>
      </c>
      <c r="U81" s="179">
        <v>7800.0000000000009</v>
      </c>
      <c r="V81" s="191">
        <v>3254.111443941244</v>
      </c>
      <c r="W81" s="182">
        <f t="shared" si="39"/>
        <v>618.28117434883632</v>
      </c>
      <c r="X81" s="179">
        <f t="shared" si="40"/>
        <v>3872.3926182900805</v>
      </c>
      <c r="Y81" s="184"/>
      <c r="Z81" s="177">
        <f t="shared" si="41"/>
        <v>3904.9337327294925</v>
      </c>
      <c r="AB81" s="203">
        <f>ROUND(AVERAGE(D81,G81,V81),0)</f>
        <v>3427</v>
      </c>
      <c r="AC81" s="203">
        <f>ROUND(STDEVA(D81,G81,V81),0)</f>
        <v>279</v>
      </c>
      <c r="AD81" s="158">
        <f t="shared" si="32"/>
        <v>8.1412313977239567E-2</v>
      </c>
      <c r="AE81" s="179">
        <f t="shared" si="33"/>
        <v>3148</v>
      </c>
      <c r="AF81" s="179">
        <f t="shared" si="34"/>
        <v>3706</v>
      </c>
      <c r="AH81" s="179">
        <f t="shared" si="42"/>
        <v>3277.3109243697481</v>
      </c>
      <c r="AI81" s="179" t="str">
        <f t="shared" si="43"/>
        <v/>
      </c>
      <c r="AJ81" s="179" t="str">
        <f t="shared" si="44"/>
        <v/>
      </c>
      <c r="AK81" s="179" t="str">
        <f t="shared" si="45"/>
        <v/>
      </c>
      <c r="AL81" s="179" t="str">
        <f t="shared" si="46"/>
        <v/>
      </c>
      <c r="AM81" s="179" t="str">
        <f t="shared" si="47"/>
        <v/>
      </c>
      <c r="AN81" s="179">
        <f t="shared" si="48"/>
        <v>3254.111443941244</v>
      </c>
      <c r="AO81" s="179">
        <f t="shared" si="49"/>
        <v>3266</v>
      </c>
      <c r="AQ81" s="186">
        <f t="shared" si="50"/>
        <v>3266</v>
      </c>
      <c r="AR81" s="186">
        <f t="shared" si="51"/>
        <v>621</v>
      </c>
      <c r="AS81" s="186">
        <f t="shared" si="52"/>
        <v>3887</v>
      </c>
      <c r="AU81" s="191">
        <v>3254.111443941244</v>
      </c>
      <c r="AV81" s="182">
        <f t="shared" si="53"/>
        <v>618.28117434883632</v>
      </c>
      <c r="AW81" s="179">
        <f t="shared" si="54"/>
        <v>3872.3926182900805</v>
      </c>
      <c r="AY81" s="158">
        <f t="shared" si="55"/>
        <v>3.6533954855452163E-3</v>
      </c>
      <c r="AZ81" s="188" t="str">
        <f t="shared" si="56"/>
        <v>AUMENTO</v>
      </c>
      <c r="BA81" s="159"/>
      <c r="BC81" s="177">
        <v>3904.9337327294925</v>
      </c>
      <c r="BE81" s="189">
        <f t="shared" si="57"/>
        <v>653</v>
      </c>
      <c r="BF81" s="190">
        <f t="shared" si="58"/>
        <v>3919</v>
      </c>
      <c r="BG81" s="190">
        <f t="shared" si="59"/>
        <v>3919</v>
      </c>
    </row>
    <row r="82" spans="1:59" s="166" customFormat="1" ht="24" x14ac:dyDescent="0.2">
      <c r="A82" s="172">
        <v>70</v>
      </c>
      <c r="B82" s="173" t="s">
        <v>189</v>
      </c>
      <c r="C82" s="174" t="s">
        <v>3</v>
      </c>
      <c r="D82" s="175">
        <f t="shared" si="35"/>
        <v>2987.3949579831933</v>
      </c>
      <c r="E82" s="176">
        <f t="shared" si="36"/>
        <v>567.60504201680669</v>
      </c>
      <c r="F82" s="177">
        <v>3555</v>
      </c>
      <c r="G82" s="175">
        <v>2973.4970911441501</v>
      </c>
      <c r="H82" s="178">
        <v>564.96444731738848</v>
      </c>
      <c r="I82" s="179">
        <v>3538.4615384615386</v>
      </c>
      <c r="J82" s="180">
        <v>2800</v>
      </c>
      <c r="K82" s="178">
        <f t="shared" si="37"/>
        <v>532</v>
      </c>
      <c r="L82" s="179">
        <f t="shared" si="38"/>
        <v>3332</v>
      </c>
      <c r="M82" s="181">
        <v>7500</v>
      </c>
      <c r="N82" s="182">
        <v>1425</v>
      </c>
      <c r="O82" s="179">
        <v>8925</v>
      </c>
      <c r="P82" s="181">
        <v>1992</v>
      </c>
      <c r="Q82" s="182">
        <v>378.48</v>
      </c>
      <c r="R82" s="179">
        <v>2370.48</v>
      </c>
      <c r="S82" s="181">
        <v>5521.0084033613448</v>
      </c>
      <c r="T82" s="182">
        <v>1048.9915966386554</v>
      </c>
      <c r="U82" s="179">
        <v>6570</v>
      </c>
      <c r="V82" s="191">
        <v>2666.3686875728208</v>
      </c>
      <c r="W82" s="182">
        <f t="shared" si="39"/>
        <v>506.61005063883596</v>
      </c>
      <c r="X82" s="179">
        <f t="shared" si="40"/>
        <v>3172.9787382116569</v>
      </c>
      <c r="Y82" s="184"/>
      <c r="Z82" s="177">
        <f t="shared" si="41"/>
        <v>3199.6424250873847</v>
      </c>
      <c r="AB82" s="179">
        <f>ROUND(AVERAGE(D82,G82,J82,V82),0)</f>
        <v>2857</v>
      </c>
      <c r="AC82" s="179">
        <f>ROUND(STDEVA(D82,G82,J82,V82),0)</f>
        <v>153</v>
      </c>
      <c r="AD82" s="158">
        <f t="shared" si="32"/>
        <v>5.3552677633881697E-2</v>
      </c>
      <c r="AE82" s="179">
        <f t="shared" si="33"/>
        <v>2704</v>
      </c>
      <c r="AF82" s="179">
        <f t="shared" si="34"/>
        <v>3010</v>
      </c>
      <c r="AH82" s="179">
        <f t="shared" si="42"/>
        <v>2987.3949579831933</v>
      </c>
      <c r="AI82" s="179">
        <f t="shared" si="43"/>
        <v>2973.4970911441501</v>
      </c>
      <c r="AJ82" s="179">
        <f t="shared" si="44"/>
        <v>2800</v>
      </c>
      <c r="AK82" s="179" t="str">
        <f t="shared" si="45"/>
        <v/>
      </c>
      <c r="AL82" s="179" t="str">
        <f t="shared" si="46"/>
        <v/>
      </c>
      <c r="AM82" s="179" t="str">
        <f t="shared" si="47"/>
        <v/>
      </c>
      <c r="AN82" s="179" t="str">
        <f t="shared" si="48"/>
        <v/>
      </c>
      <c r="AO82" s="179">
        <f t="shared" si="49"/>
        <v>2920</v>
      </c>
      <c r="AQ82" s="186">
        <f t="shared" si="50"/>
        <v>2920</v>
      </c>
      <c r="AR82" s="186">
        <f t="shared" si="51"/>
        <v>555</v>
      </c>
      <c r="AS82" s="186">
        <f t="shared" si="52"/>
        <v>3475</v>
      </c>
      <c r="AU82" s="191">
        <v>2666.3686875728208</v>
      </c>
      <c r="AV82" s="182">
        <f t="shared" si="53"/>
        <v>506.61005063883596</v>
      </c>
      <c r="AW82" s="179">
        <f t="shared" si="54"/>
        <v>3172.9787382116569</v>
      </c>
      <c r="AY82" s="158">
        <f t="shared" si="55"/>
        <v>9.5122371339448272E-2</v>
      </c>
      <c r="AZ82" s="188" t="str">
        <f t="shared" si="56"/>
        <v>AUMENTO</v>
      </c>
      <c r="BA82" s="159"/>
      <c r="BC82" s="177">
        <v>3199.6424250873847</v>
      </c>
      <c r="BE82" s="189">
        <f t="shared" si="57"/>
        <v>584</v>
      </c>
      <c r="BF82" s="190">
        <f t="shared" si="58"/>
        <v>3504</v>
      </c>
      <c r="BG82" s="190">
        <f t="shared" si="59"/>
        <v>3504</v>
      </c>
    </row>
    <row r="83" spans="1:59" s="166" customFormat="1" ht="12" x14ac:dyDescent="0.2">
      <c r="A83" s="172">
        <v>71</v>
      </c>
      <c r="B83" s="173" t="s">
        <v>190</v>
      </c>
      <c r="C83" s="174" t="s">
        <v>3</v>
      </c>
      <c r="D83" s="181">
        <f t="shared" si="35"/>
        <v>1260.5042016806724</v>
      </c>
      <c r="E83" s="176">
        <f t="shared" si="36"/>
        <v>239.49579831932775</v>
      </c>
      <c r="F83" s="177">
        <v>1500</v>
      </c>
      <c r="G83" s="175">
        <v>775.69489334195225</v>
      </c>
      <c r="H83" s="178">
        <v>147.38202973497093</v>
      </c>
      <c r="I83" s="179">
        <v>923.07692307692321</v>
      </c>
      <c r="J83" s="192">
        <v>2000</v>
      </c>
      <c r="K83" s="178">
        <f t="shared" si="37"/>
        <v>380</v>
      </c>
      <c r="L83" s="179">
        <f t="shared" si="38"/>
        <v>2380</v>
      </c>
      <c r="M83" s="181">
        <v>23700</v>
      </c>
      <c r="N83" s="182">
        <v>4503</v>
      </c>
      <c r="O83" s="179">
        <v>28203</v>
      </c>
      <c r="P83" s="175">
        <v>421</v>
      </c>
      <c r="Q83" s="182">
        <v>79.989999999999995</v>
      </c>
      <c r="R83" s="179">
        <v>500.99</v>
      </c>
      <c r="S83" s="175">
        <v>756.30252100840335</v>
      </c>
      <c r="T83" s="182">
        <v>143.69747899159663</v>
      </c>
      <c r="U83" s="179">
        <v>900</v>
      </c>
      <c r="V83" s="191">
        <v>477.05280918845204</v>
      </c>
      <c r="W83" s="182">
        <f t="shared" si="39"/>
        <v>90.64003374580588</v>
      </c>
      <c r="X83" s="179">
        <f t="shared" si="40"/>
        <v>567.6928429342579</v>
      </c>
      <c r="Y83" s="184"/>
      <c r="Z83" s="177">
        <f t="shared" si="41"/>
        <v>572.46337102614245</v>
      </c>
      <c r="AB83" s="179">
        <f>ROUND(AVERAGE(G83,P83,S83,V83),0)</f>
        <v>608</v>
      </c>
      <c r="AC83" s="179">
        <f>ROUND(STDEVA(G83,P83,S83,V83),0)</f>
        <v>185</v>
      </c>
      <c r="AD83" s="158">
        <f t="shared" si="32"/>
        <v>0.30427631578947367</v>
      </c>
      <c r="AE83" s="179">
        <f t="shared" si="33"/>
        <v>423</v>
      </c>
      <c r="AF83" s="179">
        <f t="shared" si="34"/>
        <v>793</v>
      </c>
      <c r="AH83" s="179" t="str">
        <f t="shared" si="42"/>
        <v/>
      </c>
      <c r="AI83" s="179">
        <f t="shared" si="43"/>
        <v>775.69489334195225</v>
      </c>
      <c r="AJ83" s="179" t="str">
        <f t="shared" si="44"/>
        <v/>
      </c>
      <c r="AK83" s="179" t="str">
        <f t="shared" si="45"/>
        <v/>
      </c>
      <c r="AL83" s="179" t="str">
        <f t="shared" si="46"/>
        <v/>
      </c>
      <c r="AM83" s="179">
        <f t="shared" si="47"/>
        <v>756.30252100840335</v>
      </c>
      <c r="AN83" s="179">
        <f t="shared" si="48"/>
        <v>477.05280918845204</v>
      </c>
      <c r="AO83" s="179">
        <f t="shared" si="49"/>
        <v>670</v>
      </c>
      <c r="AQ83" s="186">
        <f t="shared" si="50"/>
        <v>670</v>
      </c>
      <c r="AR83" s="186">
        <f t="shared" si="51"/>
        <v>127</v>
      </c>
      <c r="AS83" s="186">
        <f t="shared" si="52"/>
        <v>797</v>
      </c>
      <c r="AU83" s="191">
        <v>477.05280918845204</v>
      </c>
      <c r="AV83" s="182">
        <f t="shared" si="53"/>
        <v>90.64003374580588</v>
      </c>
      <c r="AW83" s="179">
        <f t="shared" si="54"/>
        <v>567.6928429342579</v>
      </c>
      <c r="AY83" s="158">
        <f t="shared" si="55"/>
        <v>0.40445667040465383</v>
      </c>
      <c r="AZ83" s="188" t="str">
        <f t="shared" si="56"/>
        <v>AUMENTO</v>
      </c>
      <c r="BA83" s="159"/>
      <c r="BC83" s="177">
        <v>572.46337102614245</v>
      </c>
      <c r="BE83" s="189">
        <f t="shared" si="57"/>
        <v>134</v>
      </c>
      <c r="BF83" s="190">
        <f t="shared" si="58"/>
        <v>804</v>
      </c>
      <c r="BG83" s="190">
        <f t="shared" si="59"/>
        <v>804</v>
      </c>
    </row>
    <row r="84" spans="1:59" s="166" customFormat="1" ht="12" x14ac:dyDescent="0.2">
      <c r="A84" s="172">
        <v>72</v>
      </c>
      <c r="B84" s="173" t="s">
        <v>191</v>
      </c>
      <c r="C84" s="174" t="s">
        <v>3</v>
      </c>
      <c r="D84" s="175">
        <f t="shared" si="35"/>
        <v>6705.8823529411766</v>
      </c>
      <c r="E84" s="176">
        <f t="shared" si="36"/>
        <v>1274.1176470588236</v>
      </c>
      <c r="F84" s="177">
        <v>7980</v>
      </c>
      <c r="G84" s="175">
        <v>6464.1241111829349</v>
      </c>
      <c r="H84" s="178">
        <v>1228.1835811247577</v>
      </c>
      <c r="I84" s="179">
        <v>7692.3076923076924</v>
      </c>
      <c r="J84" s="180">
        <v>6533.333333333333</v>
      </c>
      <c r="K84" s="178">
        <f t="shared" si="37"/>
        <v>1241.3333333333333</v>
      </c>
      <c r="L84" s="179">
        <f t="shared" si="38"/>
        <v>7774.6666666666661</v>
      </c>
      <c r="M84" s="181">
        <v>15000</v>
      </c>
      <c r="N84" s="182">
        <v>2850</v>
      </c>
      <c r="O84" s="179">
        <v>17850</v>
      </c>
      <c r="P84" s="175">
        <v>4458</v>
      </c>
      <c r="Q84" s="182">
        <v>847.02</v>
      </c>
      <c r="R84" s="179">
        <v>5305.02</v>
      </c>
      <c r="S84" s="181">
        <v>12605.042016806723</v>
      </c>
      <c r="T84" s="182">
        <v>2394.9579831932774</v>
      </c>
      <c r="U84" s="179">
        <v>15000</v>
      </c>
      <c r="V84" s="191">
        <v>5631.8484148665966</v>
      </c>
      <c r="W84" s="182">
        <f t="shared" si="39"/>
        <v>1070.0511988246535</v>
      </c>
      <c r="X84" s="179">
        <f t="shared" si="40"/>
        <v>6701.8996136912501</v>
      </c>
      <c r="Y84" s="184"/>
      <c r="Z84" s="177">
        <f t="shared" si="41"/>
        <v>6758.2180978399156</v>
      </c>
      <c r="AB84" s="179">
        <f>ROUND(AVERAGE(D84,G84,J84),0)</f>
        <v>6568</v>
      </c>
      <c r="AC84" s="179">
        <f>ROUND(STDEVA(D84,G84,J84),0)</f>
        <v>125</v>
      </c>
      <c r="AD84" s="158">
        <f t="shared" si="32"/>
        <v>1.9031668696711329E-2</v>
      </c>
      <c r="AE84" s="179">
        <f t="shared" si="33"/>
        <v>6443</v>
      </c>
      <c r="AF84" s="179">
        <f t="shared" si="34"/>
        <v>6693</v>
      </c>
      <c r="AH84" s="179" t="str">
        <f t="shared" si="42"/>
        <v/>
      </c>
      <c r="AI84" s="179">
        <f t="shared" si="43"/>
        <v>6464.1241111829349</v>
      </c>
      <c r="AJ84" s="179">
        <f t="shared" si="44"/>
        <v>6533.333333333333</v>
      </c>
      <c r="AK84" s="179" t="str">
        <f t="shared" si="45"/>
        <v/>
      </c>
      <c r="AL84" s="179" t="str">
        <f t="shared" si="46"/>
        <v/>
      </c>
      <c r="AM84" s="179" t="str">
        <f t="shared" si="47"/>
        <v/>
      </c>
      <c r="AN84" s="179" t="str">
        <f t="shared" si="48"/>
        <v/>
      </c>
      <c r="AO84" s="179">
        <f t="shared" si="49"/>
        <v>6499</v>
      </c>
      <c r="AQ84" s="186">
        <f t="shared" si="50"/>
        <v>6499</v>
      </c>
      <c r="AR84" s="186">
        <f t="shared" si="51"/>
        <v>1235</v>
      </c>
      <c r="AS84" s="186">
        <f t="shared" si="52"/>
        <v>7734</v>
      </c>
      <c r="AU84" s="191">
        <v>5631.8484148665966</v>
      </c>
      <c r="AV84" s="182">
        <f t="shared" si="53"/>
        <v>1070.0511988246535</v>
      </c>
      <c r="AW84" s="179">
        <f t="shared" si="54"/>
        <v>6701.8996136912501</v>
      </c>
      <c r="AY84" s="158">
        <f t="shared" si="55"/>
        <v>0.15397282051206343</v>
      </c>
      <c r="AZ84" s="188" t="str">
        <f t="shared" si="56"/>
        <v>AUMENTO</v>
      </c>
      <c r="BA84" s="159"/>
      <c r="BC84" s="177">
        <v>6758.2180978399156</v>
      </c>
      <c r="BE84" s="189">
        <f t="shared" si="57"/>
        <v>1300</v>
      </c>
      <c r="BF84" s="190">
        <f t="shared" si="58"/>
        <v>7799</v>
      </c>
      <c r="BG84" s="190">
        <f t="shared" si="59"/>
        <v>7799</v>
      </c>
    </row>
    <row r="85" spans="1:59" s="166" customFormat="1" ht="12" x14ac:dyDescent="0.2">
      <c r="A85" s="172">
        <v>73</v>
      </c>
      <c r="B85" s="173" t="s">
        <v>192</v>
      </c>
      <c r="C85" s="174" t="s">
        <v>3</v>
      </c>
      <c r="D85" s="175">
        <f t="shared" si="35"/>
        <v>1134.453781512605</v>
      </c>
      <c r="E85" s="176">
        <f t="shared" si="36"/>
        <v>215.54621848739495</v>
      </c>
      <c r="F85" s="177">
        <v>1350</v>
      </c>
      <c r="G85" s="175">
        <v>1292.8248222365869</v>
      </c>
      <c r="H85" s="178">
        <v>245.63671622495153</v>
      </c>
      <c r="I85" s="179">
        <v>1538.4615384615383</v>
      </c>
      <c r="J85" s="180">
        <v>2000</v>
      </c>
      <c r="K85" s="178">
        <f t="shared" si="37"/>
        <v>380</v>
      </c>
      <c r="L85" s="179">
        <f t="shared" si="38"/>
        <v>2380</v>
      </c>
      <c r="M85" s="181">
        <v>26700</v>
      </c>
      <c r="N85" s="182">
        <v>5073</v>
      </c>
      <c r="O85" s="179">
        <v>31773</v>
      </c>
      <c r="P85" s="181">
        <v>664</v>
      </c>
      <c r="Q85" s="182">
        <v>126.16</v>
      </c>
      <c r="R85" s="179">
        <v>790.16</v>
      </c>
      <c r="S85" s="175">
        <v>2268.90756302521</v>
      </c>
      <c r="T85" s="182">
        <v>431.0924369747899</v>
      </c>
      <c r="U85" s="179">
        <v>2700</v>
      </c>
      <c r="V85" s="199">
        <v>748.38770343138583</v>
      </c>
      <c r="W85" s="182">
        <f t="shared" si="39"/>
        <v>142.19366365196331</v>
      </c>
      <c r="X85" s="179">
        <f t="shared" si="40"/>
        <v>890.58136708334916</v>
      </c>
      <c r="Y85" s="184"/>
      <c r="Z85" s="177">
        <f t="shared" si="41"/>
        <v>898.06524411766293</v>
      </c>
      <c r="AB85" s="179">
        <f>ROUND(AVERAGE(D85,G85,J85,S85),0)</f>
        <v>1674</v>
      </c>
      <c r="AC85" s="179">
        <f>ROUND(STDEVA(D85,G85,J85,S85),0)</f>
        <v>547</v>
      </c>
      <c r="AD85" s="158">
        <f>+AC85/AB85</f>
        <v>0.32676224611708482</v>
      </c>
      <c r="AE85" s="179">
        <f t="shared" si="33"/>
        <v>1127</v>
      </c>
      <c r="AF85" s="179">
        <f t="shared" si="34"/>
        <v>2221</v>
      </c>
      <c r="AH85" s="179">
        <f t="shared" si="42"/>
        <v>1134.453781512605</v>
      </c>
      <c r="AI85" s="179">
        <f t="shared" si="43"/>
        <v>1292.8248222365869</v>
      </c>
      <c r="AJ85" s="179">
        <f t="shared" si="44"/>
        <v>2000</v>
      </c>
      <c r="AK85" s="179" t="str">
        <f t="shared" si="45"/>
        <v/>
      </c>
      <c r="AL85" s="179" t="str">
        <f t="shared" si="46"/>
        <v/>
      </c>
      <c r="AM85" s="179" t="str">
        <f t="shared" si="47"/>
        <v/>
      </c>
      <c r="AN85" s="179" t="str">
        <f t="shared" si="48"/>
        <v/>
      </c>
      <c r="AO85" s="179">
        <f t="shared" si="49"/>
        <v>1476</v>
      </c>
      <c r="AQ85" s="186">
        <f t="shared" si="50"/>
        <v>1476</v>
      </c>
      <c r="AR85" s="186">
        <f t="shared" si="51"/>
        <v>280</v>
      </c>
      <c r="AS85" s="186">
        <f t="shared" si="52"/>
        <v>1756</v>
      </c>
      <c r="AU85" s="191">
        <v>748.38770343138583</v>
      </c>
      <c r="AV85" s="182">
        <f t="shared" si="53"/>
        <v>142.19366365196331</v>
      </c>
      <c r="AW85" s="179">
        <f t="shared" si="54"/>
        <v>890.58136708334916</v>
      </c>
      <c r="AY85" s="158">
        <f t="shared" si="55"/>
        <v>0.97223978057427229</v>
      </c>
      <c r="AZ85" s="188" t="str">
        <f t="shared" si="56"/>
        <v>AUMENTO</v>
      </c>
      <c r="BA85" s="159"/>
      <c r="BC85" s="177">
        <v>898.06524411766293</v>
      </c>
      <c r="BE85" s="189">
        <f t="shared" si="57"/>
        <v>295</v>
      </c>
      <c r="BF85" s="190">
        <f t="shared" si="58"/>
        <v>1771</v>
      </c>
      <c r="BG85" s="190">
        <f t="shared" si="59"/>
        <v>1771</v>
      </c>
    </row>
    <row r="86" spans="1:59" s="166" customFormat="1" ht="12" x14ac:dyDescent="0.2">
      <c r="A86" s="172">
        <v>74</v>
      </c>
      <c r="B86" s="173" t="s">
        <v>193</v>
      </c>
      <c r="C86" s="174" t="s">
        <v>3</v>
      </c>
      <c r="D86" s="175">
        <f t="shared" si="35"/>
        <v>7310.9243697478996</v>
      </c>
      <c r="E86" s="176">
        <f t="shared" si="36"/>
        <v>1389.0756302521008</v>
      </c>
      <c r="F86" s="177">
        <v>8700</v>
      </c>
      <c r="G86" s="175">
        <v>7627.6664511958625</v>
      </c>
      <c r="H86" s="178">
        <v>1449.256625727214</v>
      </c>
      <c r="I86" s="179">
        <v>9076.9230769230762</v>
      </c>
      <c r="J86" s="180">
        <v>7600</v>
      </c>
      <c r="K86" s="178">
        <f t="shared" si="37"/>
        <v>1444</v>
      </c>
      <c r="L86" s="179">
        <f t="shared" si="38"/>
        <v>9044</v>
      </c>
      <c r="M86" s="181">
        <v>17400</v>
      </c>
      <c r="N86" s="182">
        <v>3306</v>
      </c>
      <c r="O86" s="179">
        <v>20706</v>
      </c>
      <c r="P86" s="181">
        <v>11600</v>
      </c>
      <c r="Q86" s="182">
        <v>2204</v>
      </c>
      <c r="R86" s="179">
        <v>13804</v>
      </c>
      <c r="S86" s="181">
        <v>14621.848739495799</v>
      </c>
      <c r="T86" s="182">
        <v>2778.1512605042017</v>
      </c>
      <c r="U86" s="179">
        <v>17400</v>
      </c>
      <c r="V86" s="191">
        <v>7233.1928029278215</v>
      </c>
      <c r="W86" s="182">
        <f t="shared" si="39"/>
        <v>1374.3066325562861</v>
      </c>
      <c r="X86" s="179">
        <f t="shared" si="40"/>
        <v>8607.4994354841074</v>
      </c>
      <c r="Y86" s="184"/>
      <c r="Z86" s="177">
        <f t="shared" si="41"/>
        <v>8679.8313635133854</v>
      </c>
      <c r="AB86" s="179">
        <f>ROUND(AVERAGE(D86,G86,J86,V86),0)</f>
        <v>7443</v>
      </c>
      <c r="AC86" s="179">
        <f>ROUND(STDEVA(D86,G86,J86,V86),0)</f>
        <v>200</v>
      </c>
      <c r="AD86" s="158">
        <f t="shared" si="32"/>
        <v>2.6870885395673786E-2</v>
      </c>
      <c r="AE86" s="179">
        <f t="shared" si="33"/>
        <v>7243</v>
      </c>
      <c r="AF86" s="179">
        <f t="shared" si="34"/>
        <v>7643</v>
      </c>
      <c r="AH86" s="179">
        <f t="shared" si="42"/>
        <v>7310.9243697478996</v>
      </c>
      <c r="AI86" s="179">
        <f t="shared" si="43"/>
        <v>7627.6664511958625</v>
      </c>
      <c r="AJ86" s="179">
        <f t="shared" si="44"/>
        <v>7600</v>
      </c>
      <c r="AK86" s="179" t="str">
        <f t="shared" si="45"/>
        <v/>
      </c>
      <c r="AL86" s="179" t="str">
        <f t="shared" si="46"/>
        <v/>
      </c>
      <c r="AM86" s="179" t="str">
        <f t="shared" si="47"/>
        <v/>
      </c>
      <c r="AN86" s="179" t="str">
        <f t="shared" si="48"/>
        <v/>
      </c>
      <c r="AO86" s="179">
        <f t="shared" si="49"/>
        <v>7513</v>
      </c>
      <c r="AQ86" s="186">
        <f t="shared" si="50"/>
        <v>7513</v>
      </c>
      <c r="AR86" s="186">
        <f t="shared" si="51"/>
        <v>1427</v>
      </c>
      <c r="AS86" s="186">
        <f t="shared" si="52"/>
        <v>8940</v>
      </c>
      <c r="AU86" s="191">
        <v>7233.1928029278215</v>
      </c>
      <c r="AV86" s="182">
        <f t="shared" si="53"/>
        <v>1374.3066325562861</v>
      </c>
      <c r="AW86" s="179">
        <f t="shared" si="54"/>
        <v>8607.4994354841074</v>
      </c>
      <c r="AY86" s="158">
        <f t="shared" si="55"/>
        <v>3.8683774191518756E-2</v>
      </c>
      <c r="AZ86" s="188" t="str">
        <f t="shared" si="56"/>
        <v>AUMENTO</v>
      </c>
      <c r="BA86" s="159"/>
      <c r="BC86" s="177">
        <v>8679.8313635133854</v>
      </c>
      <c r="BE86" s="189">
        <f t="shared" si="57"/>
        <v>1503</v>
      </c>
      <c r="BF86" s="190">
        <f t="shared" si="58"/>
        <v>9016</v>
      </c>
      <c r="BG86" s="190">
        <f t="shared" si="59"/>
        <v>9016</v>
      </c>
    </row>
    <row r="87" spans="1:59" s="166" customFormat="1" ht="24" x14ac:dyDescent="0.2">
      <c r="A87" s="172">
        <v>75</v>
      </c>
      <c r="B87" s="173" t="s">
        <v>194</v>
      </c>
      <c r="C87" s="174" t="s">
        <v>3</v>
      </c>
      <c r="D87" s="181">
        <f t="shared" si="35"/>
        <v>1890.7563025210086</v>
      </c>
      <c r="E87" s="176">
        <f t="shared" si="36"/>
        <v>359.24369747899163</v>
      </c>
      <c r="F87" s="177">
        <v>2250</v>
      </c>
      <c r="G87" s="175">
        <v>3878.4744667097607</v>
      </c>
      <c r="H87" s="178">
        <v>736.91014867485455</v>
      </c>
      <c r="I87" s="179">
        <v>4615.3846153846152</v>
      </c>
      <c r="J87" s="180">
        <v>3066.6666666666665</v>
      </c>
      <c r="K87" s="178">
        <f t="shared" si="37"/>
        <v>582.66666666666663</v>
      </c>
      <c r="L87" s="179">
        <f t="shared" si="38"/>
        <v>3649.333333333333</v>
      </c>
      <c r="M87" s="181">
        <v>10500</v>
      </c>
      <c r="N87" s="182">
        <v>1995</v>
      </c>
      <c r="O87" s="179">
        <v>12495</v>
      </c>
      <c r="P87" s="175">
        <v>2386</v>
      </c>
      <c r="Q87" s="182">
        <v>453.34000000000003</v>
      </c>
      <c r="R87" s="179">
        <v>2839.34</v>
      </c>
      <c r="S87" s="181">
        <v>7310.9243697478996</v>
      </c>
      <c r="T87" s="182">
        <v>1389.0756302521008</v>
      </c>
      <c r="U87" s="179">
        <v>8700</v>
      </c>
      <c r="V87" s="191">
        <v>2615.5595919270572</v>
      </c>
      <c r="W87" s="182">
        <f t="shared" si="39"/>
        <v>496.95632246614082</v>
      </c>
      <c r="X87" s="179">
        <f t="shared" si="40"/>
        <v>3112.5159143931978</v>
      </c>
      <c r="Y87" s="184"/>
      <c r="Z87" s="177">
        <f t="shared" si="41"/>
        <v>3138.6715103124684</v>
      </c>
      <c r="AB87" s="179">
        <f>ROUND(AVERAGE(G87,J87,P87,V87),0)</f>
        <v>2987</v>
      </c>
      <c r="AC87" s="179">
        <f>ROUND(STDEVA(G87,J87,P87,V87),0)</f>
        <v>658</v>
      </c>
      <c r="AD87" s="158">
        <f t="shared" si="32"/>
        <v>0.22028791429527955</v>
      </c>
      <c r="AE87" s="179">
        <f t="shared" si="33"/>
        <v>2329</v>
      </c>
      <c r="AF87" s="179">
        <f t="shared" si="34"/>
        <v>3645</v>
      </c>
      <c r="AH87" s="179" t="str">
        <f t="shared" si="42"/>
        <v/>
      </c>
      <c r="AI87" s="179" t="str">
        <f t="shared" si="43"/>
        <v/>
      </c>
      <c r="AJ87" s="179">
        <f t="shared" si="44"/>
        <v>3066.6666666666665</v>
      </c>
      <c r="AK87" s="179" t="str">
        <f t="shared" si="45"/>
        <v/>
      </c>
      <c r="AL87" s="179">
        <f t="shared" si="46"/>
        <v>2386</v>
      </c>
      <c r="AM87" s="179" t="str">
        <f t="shared" si="47"/>
        <v/>
      </c>
      <c r="AN87" s="179">
        <f t="shared" si="48"/>
        <v>2615.5595919270572</v>
      </c>
      <c r="AO87" s="179">
        <f t="shared" si="49"/>
        <v>2689</v>
      </c>
      <c r="AQ87" s="186">
        <f t="shared" si="50"/>
        <v>2689</v>
      </c>
      <c r="AR87" s="186">
        <f t="shared" si="51"/>
        <v>511</v>
      </c>
      <c r="AS87" s="186">
        <f t="shared" si="52"/>
        <v>3200</v>
      </c>
      <c r="AU87" s="191">
        <v>2615.5595919270572</v>
      </c>
      <c r="AV87" s="182">
        <f t="shared" si="53"/>
        <v>496.95632246614082</v>
      </c>
      <c r="AW87" s="179">
        <f t="shared" si="54"/>
        <v>3112.5159143931978</v>
      </c>
      <c r="AY87" s="158">
        <f t="shared" si="55"/>
        <v>2.8078277512627547E-2</v>
      </c>
      <c r="AZ87" s="188" t="str">
        <f t="shared" si="56"/>
        <v>AUMENTO</v>
      </c>
      <c r="BA87" s="159"/>
      <c r="BC87" s="177">
        <v>3138.6715103124684</v>
      </c>
      <c r="BE87" s="189">
        <f t="shared" si="57"/>
        <v>538</v>
      </c>
      <c r="BF87" s="190">
        <f t="shared" si="58"/>
        <v>3227</v>
      </c>
      <c r="BG87" s="190">
        <f t="shared" si="59"/>
        <v>3227</v>
      </c>
    </row>
    <row r="88" spans="1:59" s="166" customFormat="1" ht="24" x14ac:dyDescent="0.2">
      <c r="A88" s="172">
        <v>76</v>
      </c>
      <c r="B88" s="173" t="s">
        <v>195</v>
      </c>
      <c r="C88" s="174" t="s">
        <v>3</v>
      </c>
      <c r="D88" s="175">
        <f t="shared" si="35"/>
        <v>3151.2605042016808</v>
      </c>
      <c r="E88" s="176">
        <f t="shared" si="36"/>
        <v>598.73949579831935</v>
      </c>
      <c r="F88" s="177">
        <v>3750</v>
      </c>
      <c r="G88" s="181">
        <v>4524.8868778280548</v>
      </c>
      <c r="H88" s="197">
        <v>859.72850678733039</v>
      </c>
      <c r="I88" s="181">
        <v>5384.6153846153848</v>
      </c>
      <c r="J88" s="192">
        <v>5200</v>
      </c>
      <c r="K88" s="197">
        <f t="shared" si="37"/>
        <v>988</v>
      </c>
      <c r="L88" s="181">
        <f t="shared" si="38"/>
        <v>6188</v>
      </c>
      <c r="M88" s="181">
        <v>6000</v>
      </c>
      <c r="N88" s="182">
        <v>1140</v>
      </c>
      <c r="O88" s="179">
        <v>7140</v>
      </c>
      <c r="P88" s="175">
        <v>2732</v>
      </c>
      <c r="Q88" s="182">
        <v>519.08000000000004</v>
      </c>
      <c r="R88" s="179">
        <v>3251.08</v>
      </c>
      <c r="S88" s="175">
        <v>3605.042016806723</v>
      </c>
      <c r="T88" s="182">
        <v>684.95798319327741</v>
      </c>
      <c r="U88" s="179">
        <v>4290</v>
      </c>
      <c r="V88" s="191">
        <v>3115.0595184679305</v>
      </c>
      <c r="W88" s="182">
        <f t="shared" si="39"/>
        <v>591.86130850890686</v>
      </c>
      <c r="X88" s="179">
        <f t="shared" si="40"/>
        <v>3706.9208269768374</v>
      </c>
      <c r="Y88" s="184"/>
      <c r="Z88" s="177">
        <f t="shared" si="41"/>
        <v>3738.0714221615162</v>
      </c>
      <c r="AB88" s="179">
        <f>ROUND(AVERAGE(D88,S88,V88),0)</f>
        <v>3290</v>
      </c>
      <c r="AC88" s="179">
        <f>ROUND(STDEVA(D88,S88,V88),0)</f>
        <v>273</v>
      </c>
      <c r="AD88" s="158">
        <f t="shared" si="32"/>
        <v>8.2978723404255314E-2</v>
      </c>
      <c r="AE88" s="179">
        <f t="shared" si="33"/>
        <v>3017</v>
      </c>
      <c r="AF88" s="179">
        <f t="shared" si="34"/>
        <v>3563</v>
      </c>
      <c r="AH88" s="179">
        <f t="shared" si="42"/>
        <v>3151.2605042016808</v>
      </c>
      <c r="AI88" s="179" t="str">
        <f t="shared" si="43"/>
        <v/>
      </c>
      <c r="AJ88" s="179" t="str">
        <f t="shared" si="44"/>
        <v/>
      </c>
      <c r="AK88" s="179" t="str">
        <f t="shared" si="45"/>
        <v/>
      </c>
      <c r="AL88" s="179" t="str">
        <f t="shared" si="46"/>
        <v/>
      </c>
      <c r="AM88" s="179" t="str">
        <f t="shared" si="47"/>
        <v/>
      </c>
      <c r="AN88" s="179">
        <f t="shared" si="48"/>
        <v>3115.0595184679305</v>
      </c>
      <c r="AO88" s="179">
        <f t="shared" si="49"/>
        <v>3133</v>
      </c>
      <c r="AQ88" s="186">
        <f t="shared" si="50"/>
        <v>3133</v>
      </c>
      <c r="AR88" s="186">
        <f t="shared" si="51"/>
        <v>595</v>
      </c>
      <c r="AS88" s="186">
        <f t="shared" si="52"/>
        <v>3728</v>
      </c>
      <c r="AU88" s="191">
        <v>3115.0595184679305</v>
      </c>
      <c r="AV88" s="182">
        <f t="shared" si="53"/>
        <v>591.86130850890686</v>
      </c>
      <c r="AW88" s="179">
        <f t="shared" si="54"/>
        <v>3706.9208269768374</v>
      </c>
      <c r="AY88" s="158">
        <f t="shared" si="55"/>
        <v>5.7592740766934389E-3</v>
      </c>
      <c r="AZ88" s="188" t="str">
        <f t="shared" si="56"/>
        <v>AUMENTO</v>
      </c>
      <c r="BA88" s="159"/>
      <c r="BC88" s="177">
        <v>3738.0714221615162</v>
      </c>
      <c r="BE88" s="189">
        <f t="shared" si="57"/>
        <v>627</v>
      </c>
      <c r="BF88" s="190">
        <f t="shared" si="58"/>
        <v>3760</v>
      </c>
      <c r="BG88" s="190">
        <f t="shared" si="59"/>
        <v>3760</v>
      </c>
    </row>
    <row r="89" spans="1:59" s="166" customFormat="1" ht="12" x14ac:dyDescent="0.2">
      <c r="A89" s="172">
        <v>77</v>
      </c>
      <c r="B89" s="173" t="s">
        <v>196</v>
      </c>
      <c r="C89" s="174" t="s">
        <v>3</v>
      </c>
      <c r="D89" s="181">
        <f t="shared" si="35"/>
        <v>81932.773109243702</v>
      </c>
      <c r="E89" s="176">
        <f t="shared" si="36"/>
        <v>15567.226890756303</v>
      </c>
      <c r="F89" s="177">
        <v>97500</v>
      </c>
      <c r="G89" s="175">
        <v>46412.411118293472</v>
      </c>
      <c r="H89" s="178">
        <v>8818.3581124757602</v>
      </c>
      <c r="I89" s="179">
        <v>55230.769230769234</v>
      </c>
      <c r="J89" s="180">
        <v>42666.666666666664</v>
      </c>
      <c r="K89" s="178">
        <f t="shared" si="37"/>
        <v>8106.6666666666661</v>
      </c>
      <c r="L89" s="179">
        <f t="shared" si="38"/>
        <v>50773.333333333328</v>
      </c>
      <c r="M89" s="181">
        <v>102000</v>
      </c>
      <c r="N89" s="182">
        <v>19380</v>
      </c>
      <c r="O89" s="179">
        <v>121380</v>
      </c>
      <c r="P89" s="181">
        <v>34529</v>
      </c>
      <c r="Q89" s="182">
        <v>6560.51</v>
      </c>
      <c r="R89" s="179">
        <v>41089.51</v>
      </c>
      <c r="S89" s="181">
        <v>90504.201680672268</v>
      </c>
      <c r="T89" s="182">
        <v>17195.798319327732</v>
      </c>
      <c r="U89" s="179">
        <v>107700</v>
      </c>
      <c r="V89" s="191">
        <v>43666.942752878043</v>
      </c>
      <c r="W89" s="182">
        <f t="shared" si="39"/>
        <v>8296.719123046827</v>
      </c>
      <c r="X89" s="179">
        <f t="shared" si="40"/>
        <v>51963.661875924867</v>
      </c>
      <c r="Y89" s="184"/>
      <c r="Z89" s="177">
        <f t="shared" si="41"/>
        <v>52400.331303453648</v>
      </c>
      <c r="AB89" s="179">
        <f>ROUND(AVERAGE(G89,J89,V89),0)</f>
        <v>44249</v>
      </c>
      <c r="AC89" s="179">
        <f>ROUND(STDEVA(G89,J89,V89),0)</f>
        <v>1939</v>
      </c>
      <c r="AD89" s="158">
        <f t="shared" si="32"/>
        <v>4.3820199326538453E-2</v>
      </c>
      <c r="AE89" s="179">
        <f t="shared" si="33"/>
        <v>42310</v>
      </c>
      <c r="AF89" s="179">
        <f t="shared" si="34"/>
        <v>46188</v>
      </c>
      <c r="AH89" s="179" t="str">
        <f t="shared" si="42"/>
        <v/>
      </c>
      <c r="AI89" s="179" t="str">
        <f t="shared" si="43"/>
        <v/>
      </c>
      <c r="AJ89" s="179">
        <f t="shared" si="44"/>
        <v>42666.666666666664</v>
      </c>
      <c r="AK89" s="179" t="str">
        <f t="shared" si="45"/>
        <v/>
      </c>
      <c r="AL89" s="179" t="str">
        <f t="shared" si="46"/>
        <v/>
      </c>
      <c r="AM89" s="179" t="str">
        <f t="shared" si="47"/>
        <v/>
      </c>
      <c r="AN89" s="179">
        <f t="shared" si="48"/>
        <v>43666.942752878043</v>
      </c>
      <c r="AO89" s="179">
        <f t="shared" si="49"/>
        <v>43167</v>
      </c>
      <c r="AQ89" s="186">
        <f t="shared" si="50"/>
        <v>43167</v>
      </c>
      <c r="AR89" s="186">
        <f t="shared" si="51"/>
        <v>8202</v>
      </c>
      <c r="AS89" s="186">
        <f t="shared" si="52"/>
        <v>51369</v>
      </c>
      <c r="AU89" s="191">
        <v>43666.942752878043</v>
      </c>
      <c r="AV89" s="182">
        <f t="shared" si="53"/>
        <v>8296.719123046827</v>
      </c>
      <c r="AW89" s="179">
        <f t="shared" si="54"/>
        <v>51963.661875924867</v>
      </c>
      <c r="AY89" s="158">
        <f t="shared" si="55"/>
        <v>-1.144899828933164E-2</v>
      </c>
      <c r="AZ89" s="188" t="str">
        <f t="shared" si="56"/>
        <v>AUMENTO</v>
      </c>
      <c r="BA89" s="159"/>
      <c r="BC89" s="177">
        <v>52400.331303453648</v>
      </c>
      <c r="BE89" s="189">
        <f t="shared" si="57"/>
        <v>8633</v>
      </c>
      <c r="BF89" s="190">
        <f t="shared" si="58"/>
        <v>51800</v>
      </c>
      <c r="BG89" s="190">
        <f t="shared" si="59"/>
        <v>51800</v>
      </c>
    </row>
    <row r="90" spans="1:59" s="166" customFormat="1" ht="12" x14ac:dyDescent="0.2">
      <c r="A90" s="172">
        <v>78</v>
      </c>
      <c r="B90" s="173" t="s">
        <v>197</v>
      </c>
      <c r="C90" s="174" t="s">
        <v>3</v>
      </c>
      <c r="D90" s="181">
        <f t="shared" si="35"/>
        <v>7310.9243697478996</v>
      </c>
      <c r="E90" s="176">
        <f t="shared" si="36"/>
        <v>1389.0756302521008</v>
      </c>
      <c r="F90" s="177">
        <v>8700</v>
      </c>
      <c r="G90" s="175">
        <v>11506.140917905623</v>
      </c>
      <c r="H90" s="178">
        <v>2186.1667744020683</v>
      </c>
      <c r="I90" s="179">
        <v>13692.307692307691</v>
      </c>
      <c r="J90" s="180">
        <v>10933.333333333334</v>
      </c>
      <c r="K90" s="178">
        <f t="shared" si="37"/>
        <v>2077.3333333333335</v>
      </c>
      <c r="L90" s="179">
        <f t="shared" si="38"/>
        <v>13010.666666666668</v>
      </c>
      <c r="M90" s="181">
        <v>27000</v>
      </c>
      <c r="N90" s="182">
        <v>5130</v>
      </c>
      <c r="O90" s="179">
        <v>32130</v>
      </c>
      <c r="P90" s="181">
        <v>6490</v>
      </c>
      <c r="Q90" s="182">
        <v>1233.0999999999999</v>
      </c>
      <c r="R90" s="179">
        <v>7723.1</v>
      </c>
      <c r="S90" s="181">
        <v>22436.974789915967</v>
      </c>
      <c r="T90" s="182">
        <v>4263.0252100840335</v>
      </c>
      <c r="U90" s="179">
        <v>26700</v>
      </c>
      <c r="V90" s="191">
        <v>10723.47167601764</v>
      </c>
      <c r="W90" s="182">
        <f t="shared" si="39"/>
        <v>2037.4596184433517</v>
      </c>
      <c r="X90" s="179">
        <f t="shared" si="40"/>
        <v>12760.931294460992</v>
      </c>
      <c r="Y90" s="184"/>
      <c r="Z90" s="177">
        <f t="shared" si="41"/>
        <v>12868.166011221167</v>
      </c>
      <c r="AB90" s="179">
        <f>ROUND(AVERAGE(G90,J90,V90),0)</f>
        <v>11054</v>
      </c>
      <c r="AC90" s="179">
        <f>ROUND(STDEVA(G90,J90,V90),0)</f>
        <v>405</v>
      </c>
      <c r="AD90" s="158">
        <f t="shared" si="32"/>
        <v>3.6638320969784692E-2</v>
      </c>
      <c r="AE90" s="179">
        <f t="shared" si="33"/>
        <v>10649</v>
      </c>
      <c r="AF90" s="179">
        <f t="shared" si="34"/>
        <v>11459</v>
      </c>
      <c r="AH90" s="179" t="str">
        <f t="shared" si="42"/>
        <v/>
      </c>
      <c r="AI90" s="179" t="str">
        <f t="shared" si="43"/>
        <v/>
      </c>
      <c r="AJ90" s="179">
        <f t="shared" si="44"/>
        <v>10933.333333333334</v>
      </c>
      <c r="AK90" s="179" t="str">
        <f t="shared" si="45"/>
        <v/>
      </c>
      <c r="AL90" s="179" t="str">
        <f t="shared" si="46"/>
        <v/>
      </c>
      <c r="AM90" s="179" t="str">
        <f t="shared" si="47"/>
        <v/>
      </c>
      <c r="AN90" s="179">
        <f t="shared" si="48"/>
        <v>10723.47167601764</v>
      </c>
      <c r="AO90" s="179">
        <f t="shared" si="49"/>
        <v>10828</v>
      </c>
      <c r="AQ90" s="186">
        <f t="shared" si="50"/>
        <v>10828</v>
      </c>
      <c r="AR90" s="186">
        <f t="shared" si="51"/>
        <v>2057</v>
      </c>
      <c r="AS90" s="186">
        <f t="shared" si="52"/>
        <v>12885</v>
      </c>
      <c r="AU90" s="191">
        <v>10723.47167601764</v>
      </c>
      <c r="AV90" s="182">
        <f t="shared" si="53"/>
        <v>2037.4596184433517</v>
      </c>
      <c r="AW90" s="179">
        <f t="shared" si="54"/>
        <v>12760.931294460992</v>
      </c>
      <c r="AY90" s="158">
        <f t="shared" si="55"/>
        <v>9.7476197205920885E-3</v>
      </c>
      <c r="AZ90" s="188" t="str">
        <f t="shared" si="56"/>
        <v>AUMENTO</v>
      </c>
      <c r="BA90" s="159"/>
      <c r="BC90" s="177">
        <v>12868.166011221167</v>
      </c>
      <c r="BE90" s="189">
        <f t="shared" si="57"/>
        <v>2166</v>
      </c>
      <c r="BF90" s="190">
        <f t="shared" si="58"/>
        <v>12994</v>
      </c>
      <c r="BG90" s="190">
        <f t="shared" si="59"/>
        <v>12994</v>
      </c>
    </row>
    <row r="91" spans="1:59" s="166" customFormat="1" ht="24" x14ac:dyDescent="0.2">
      <c r="A91" s="172">
        <v>79</v>
      </c>
      <c r="B91" s="173" t="s">
        <v>198</v>
      </c>
      <c r="C91" s="174" t="s">
        <v>3</v>
      </c>
      <c r="D91" s="175">
        <f t="shared" si="35"/>
        <v>114075.63025210085</v>
      </c>
      <c r="E91" s="176">
        <f t="shared" si="36"/>
        <v>21674.36974789916</v>
      </c>
      <c r="F91" s="177">
        <v>135750</v>
      </c>
      <c r="G91" s="181">
        <v>152424.04654169359</v>
      </c>
      <c r="H91" s="178">
        <v>28960.568842921784</v>
      </c>
      <c r="I91" s="179">
        <v>181384.61538461538</v>
      </c>
      <c r="J91" s="180">
        <v>128000</v>
      </c>
      <c r="K91" s="178">
        <f t="shared" si="37"/>
        <v>24320</v>
      </c>
      <c r="L91" s="179">
        <f t="shared" si="38"/>
        <v>152320</v>
      </c>
      <c r="M91" s="181">
        <v>360000</v>
      </c>
      <c r="N91" s="182">
        <v>68400</v>
      </c>
      <c r="O91" s="179">
        <v>428400</v>
      </c>
      <c r="P91" s="181">
        <v>180404</v>
      </c>
      <c r="Q91" s="182">
        <v>34276.76</v>
      </c>
      <c r="R91" s="179">
        <v>214680.76</v>
      </c>
      <c r="S91" s="181">
        <v>292184.87394957984</v>
      </c>
      <c r="T91" s="182">
        <v>55515.126050420171</v>
      </c>
      <c r="U91" s="179">
        <v>347700</v>
      </c>
      <c r="V91" s="191">
        <v>111810.79706104132</v>
      </c>
      <c r="W91" s="182">
        <f t="shared" si="39"/>
        <v>21244.05144159785</v>
      </c>
      <c r="X91" s="179">
        <f t="shared" si="40"/>
        <v>133054.84850263916</v>
      </c>
      <c r="Y91" s="184"/>
      <c r="Z91" s="177">
        <f t="shared" si="41"/>
        <v>134172.95647324956</v>
      </c>
      <c r="AB91" s="179">
        <f>ROUND(AVERAGE(D91,J91,V91),0)</f>
        <v>117962</v>
      </c>
      <c r="AC91" s="179">
        <f>ROUND(STDEVA(D91,J91,V91),0)</f>
        <v>8766</v>
      </c>
      <c r="AD91" s="158">
        <f t="shared" si="32"/>
        <v>7.4312066597717913E-2</v>
      </c>
      <c r="AE91" s="179">
        <f t="shared" si="33"/>
        <v>109196</v>
      </c>
      <c r="AF91" s="179">
        <f t="shared" si="34"/>
        <v>126728</v>
      </c>
      <c r="AH91" s="179">
        <f t="shared" si="42"/>
        <v>114075.63025210085</v>
      </c>
      <c r="AI91" s="179" t="str">
        <f t="shared" si="43"/>
        <v/>
      </c>
      <c r="AJ91" s="179" t="str">
        <f t="shared" si="44"/>
        <v/>
      </c>
      <c r="AK91" s="179" t="str">
        <f t="shared" si="45"/>
        <v/>
      </c>
      <c r="AL91" s="179" t="str">
        <f t="shared" si="46"/>
        <v/>
      </c>
      <c r="AM91" s="179" t="str">
        <f t="shared" si="47"/>
        <v/>
      </c>
      <c r="AN91" s="179">
        <f t="shared" si="48"/>
        <v>111810.79706104132</v>
      </c>
      <c r="AO91" s="179">
        <f t="shared" si="49"/>
        <v>112943</v>
      </c>
      <c r="AQ91" s="186">
        <f t="shared" si="50"/>
        <v>112943</v>
      </c>
      <c r="AR91" s="186">
        <f t="shared" si="51"/>
        <v>21459</v>
      </c>
      <c r="AS91" s="186">
        <f t="shared" si="52"/>
        <v>134402</v>
      </c>
      <c r="AU91" s="191">
        <v>111810.79706104132</v>
      </c>
      <c r="AV91" s="182">
        <f t="shared" si="53"/>
        <v>21244.05144159785</v>
      </c>
      <c r="AW91" s="179">
        <f t="shared" si="54"/>
        <v>133054.84850263916</v>
      </c>
      <c r="AY91" s="158">
        <f t="shared" si="55"/>
        <v>1.0126060887845869E-2</v>
      </c>
      <c r="AZ91" s="188" t="str">
        <f t="shared" si="56"/>
        <v>AUMENTO</v>
      </c>
      <c r="BA91" s="159"/>
      <c r="BC91" s="177">
        <v>134172.95647324956</v>
      </c>
      <c r="BE91" s="189">
        <f t="shared" si="57"/>
        <v>22589</v>
      </c>
      <c r="BF91" s="190">
        <f t="shared" si="58"/>
        <v>135532</v>
      </c>
      <c r="BG91" s="190">
        <f t="shared" si="59"/>
        <v>135532</v>
      </c>
    </row>
    <row r="92" spans="1:59" s="166" customFormat="1" ht="24" x14ac:dyDescent="0.2">
      <c r="A92" s="172">
        <v>80</v>
      </c>
      <c r="B92" s="173" t="s">
        <v>199</v>
      </c>
      <c r="C92" s="174" t="s">
        <v>3</v>
      </c>
      <c r="D92" s="175">
        <f t="shared" si="35"/>
        <v>592563.02521008404</v>
      </c>
      <c r="E92" s="176">
        <f t="shared" si="36"/>
        <v>112586.97478991597</v>
      </c>
      <c r="F92" s="177">
        <v>705150</v>
      </c>
      <c r="G92" s="175">
        <v>608274.07886231423</v>
      </c>
      <c r="H92" s="178">
        <v>115572.0749838397</v>
      </c>
      <c r="I92" s="179">
        <v>723846.15384615399</v>
      </c>
      <c r="J92" s="180">
        <v>506666.66666666669</v>
      </c>
      <c r="K92" s="178">
        <f t="shared" si="37"/>
        <v>96266.666666666686</v>
      </c>
      <c r="L92" s="179">
        <f t="shared" si="38"/>
        <v>602933.33333333337</v>
      </c>
      <c r="M92" s="181">
        <v>1254000</v>
      </c>
      <c r="N92" s="182">
        <v>238260</v>
      </c>
      <c r="O92" s="179">
        <v>1492260</v>
      </c>
      <c r="P92" s="181">
        <v>940100</v>
      </c>
      <c r="Q92" s="182">
        <v>178619</v>
      </c>
      <c r="R92" s="179">
        <v>1118719</v>
      </c>
      <c r="S92" s="181">
        <v>1247899.1596638656</v>
      </c>
      <c r="T92" s="182">
        <v>237100.84033613445</v>
      </c>
      <c r="U92" s="179">
        <v>1485000</v>
      </c>
      <c r="V92" s="191">
        <v>553530.88621762197</v>
      </c>
      <c r="W92" s="182">
        <f t="shared" si="39"/>
        <v>105170.86838134818</v>
      </c>
      <c r="X92" s="179">
        <f t="shared" si="40"/>
        <v>658701.75459897018</v>
      </c>
      <c r="Y92" s="184"/>
      <c r="Z92" s="177">
        <f t="shared" si="41"/>
        <v>664237.06346114632</v>
      </c>
      <c r="AB92" s="179">
        <f>ROUND(AVERAGE(D92,G92,J92,V92),0)</f>
        <v>565259</v>
      </c>
      <c r="AC92" s="179">
        <f>ROUND(STDEVA(D92,G92,J92,V92),0)</f>
        <v>45337</v>
      </c>
      <c r="AD92" s="158">
        <f t="shared" si="32"/>
        <v>8.0205711010351011E-2</v>
      </c>
      <c r="AE92" s="179">
        <f t="shared" si="33"/>
        <v>519922</v>
      </c>
      <c r="AF92" s="179">
        <f t="shared" si="34"/>
        <v>610596</v>
      </c>
      <c r="AH92" s="179">
        <f t="shared" si="42"/>
        <v>592563.02521008404</v>
      </c>
      <c r="AI92" s="179">
        <f t="shared" si="43"/>
        <v>608274.07886231423</v>
      </c>
      <c r="AJ92" s="179" t="str">
        <f t="shared" si="44"/>
        <v/>
      </c>
      <c r="AK92" s="179" t="str">
        <f t="shared" si="45"/>
        <v/>
      </c>
      <c r="AL92" s="179" t="str">
        <f t="shared" si="46"/>
        <v/>
      </c>
      <c r="AM92" s="179" t="str">
        <f t="shared" si="47"/>
        <v/>
      </c>
      <c r="AN92" s="179">
        <f t="shared" si="48"/>
        <v>553530.88621762197</v>
      </c>
      <c r="AO92" s="179">
        <f t="shared" si="49"/>
        <v>584789</v>
      </c>
      <c r="AQ92" s="186">
        <f t="shared" si="50"/>
        <v>584789</v>
      </c>
      <c r="AR92" s="186">
        <f t="shared" si="51"/>
        <v>111110</v>
      </c>
      <c r="AS92" s="186">
        <f t="shared" si="52"/>
        <v>695899</v>
      </c>
      <c r="AU92" s="191">
        <v>553530.88621762197</v>
      </c>
      <c r="AV92" s="182">
        <f t="shared" si="53"/>
        <v>105170.86838134818</v>
      </c>
      <c r="AW92" s="179">
        <f t="shared" si="54"/>
        <v>658701.75459897018</v>
      </c>
      <c r="AY92" s="158">
        <f t="shared" si="55"/>
        <v>5.6470405826801198E-2</v>
      </c>
      <c r="AZ92" s="188" t="str">
        <f t="shared" si="56"/>
        <v>AUMENTO</v>
      </c>
      <c r="BA92" s="159"/>
      <c r="BC92" s="177">
        <v>664237.06346114632</v>
      </c>
      <c r="BE92" s="189">
        <f t="shared" si="57"/>
        <v>116958</v>
      </c>
      <c r="BF92" s="190">
        <f t="shared" si="58"/>
        <v>701747</v>
      </c>
      <c r="BG92" s="190">
        <f t="shared" si="59"/>
        <v>701747</v>
      </c>
    </row>
    <row r="93" spans="1:59" s="166" customFormat="1" ht="24" x14ac:dyDescent="0.2">
      <c r="A93" s="172">
        <v>81</v>
      </c>
      <c r="B93" s="173" t="s">
        <v>200</v>
      </c>
      <c r="C93" s="174" t="s">
        <v>3</v>
      </c>
      <c r="D93" s="175">
        <f t="shared" si="35"/>
        <v>143067.22689075631</v>
      </c>
      <c r="E93" s="176">
        <f t="shared" si="36"/>
        <v>27182.773109243699</v>
      </c>
      <c r="F93" s="177">
        <v>170250</v>
      </c>
      <c r="G93" s="175">
        <v>202844.21460892051</v>
      </c>
      <c r="H93" s="178">
        <v>38540.400775694899</v>
      </c>
      <c r="I93" s="179">
        <v>241384.6153846154</v>
      </c>
      <c r="J93" s="180">
        <v>170666.66666666666</v>
      </c>
      <c r="K93" s="178">
        <f t="shared" si="37"/>
        <v>32426.666666666664</v>
      </c>
      <c r="L93" s="179">
        <f t="shared" si="38"/>
        <v>203093.33333333331</v>
      </c>
      <c r="M93" s="181">
        <v>291000</v>
      </c>
      <c r="N93" s="198">
        <v>55290</v>
      </c>
      <c r="O93" s="181">
        <v>346290</v>
      </c>
      <c r="P93" s="181">
        <v>227290</v>
      </c>
      <c r="Q93" s="198">
        <v>43185.1</v>
      </c>
      <c r="R93" s="181">
        <v>270475.09999999998</v>
      </c>
      <c r="S93" s="181">
        <v>395546.21848739497</v>
      </c>
      <c r="T93" s="182">
        <v>75153.781512605041</v>
      </c>
      <c r="U93" s="179">
        <v>470700</v>
      </c>
      <c r="V93" s="199">
        <v>132980.04073251178</v>
      </c>
      <c r="W93" s="182">
        <f t="shared" si="39"/>
        <v>25266.20773917724</v>
      </c>
      <c r="X93" s="179">
        <f t="shared" si="40"/>
        <v>158246.24847168903</v>
      </c>
      <c r="Y93" s="184"/>
      <c r="Z93" s="177">
        <f t="shared" si="41"/>
        <v>159576.04887901412</v>
      </c>
      <c r="AB93" s="179">
        <f>ROUND(AVERAGE(D93,G93,J93),0)</f>
        <v>172193</v>
      </c>
      <c r="AC93" s="179">
        <f>ROUND(STDEVA(D93,G93,J93),0)</f>
        <v>29918</v>
      </c>
      <c r="AD93" s="158">
        <f t="shared" si="32"/>
        <v>0.17374690028049922</v>
      </c>
      <c r="AE93" s="179">
        <f t="shared" si="33"/>
        <v>142275</v>
      </c>
      <c r="AF93" s="179">
        <f t="shared" si="34"/>
        <v>202111</v>
      </c>
      <c r="AH93" s="179">
        <f t="shared" si="42"/>
        <v>143067.22689075631</v>
      </c>
      <c r="AI93" s="179" t="str">
        <f t="shared" si="43"/>
        <v/>
      </c>
      <c r="AJ93" s="179">
        <f t="shared" si="44"/>
        <v>170666.66666666666</v>
      </c>
      <c r="AK93" s="179" t="str">
        <f t="shared" si="45"/>
        <v/>
      </c>
      <c r="AL93" s="179" t="str">
        <f t="shared" si="46"/>
        <v/>
      </c>
      <c r="AM93" s="179" t="str">
        <f t="shared" si="47"/>
        <v/>
      </c>
      <c r="AN93" s="179" t="str">
        <f t="shared" si="48"/>
        <v/>
      </c>
      <c r="AO93" s="179">
        <f t="shared" si="49"/>
        <v>156867</v>
      </c>
      <c r="AQ93" s="186">
        <f t="shared" si="50"/>
        <v>156867</v>
      </c>
      <c r="AR93" s="186">
        <f t="shared" si="51"/>
        <v>29805</v>
      </c>
      <c r="AS93" s="186">
        <f t="shared" si="52"/>
        <v>186672</v>
      </c>
      <c r="AU93" s="191">
        <v>132980.04073251178</v>
      </c>
      <c r="AV93" s="182">
        <f t="shared" si="53"/>
        <v>25266.20773917724</v>
      </c>
      <c r="AW93" s="179">
        <f t="shared" si="54"/>
        <v>158246.24847168903</v>
      </c>
      <c r="AY93" s="158">
        <f t="shared" si="55"/>
        <v>0.17962815423960224</v>
      </c>
      <c r="AZ93" s="188" t="str">
        <f t="shared" si="56"/>
        <v>AUMENTO</v>
      </c>
      <c r="BA93" s="159"/>
      <c r="BC93" s="177">
        <v>159576.04887901412</v>
      </c>
      <c r="BE93" s="189">
        <f t="shared" si="57"/>
        <v>31373</v>
      </c>
      <c r="BF93" s="190">
        <f t="shared" si="58"/>
        <v>188240</v>
      </c>
      <c r="BG93" s="190">
        <f t="shared" si="59"/>
        <v>188240</v>
      </c>
    </row>
    <row r="94" spans="1:59" s="166" customFormat="1" ht="12" x14ac:dyDescent="0.2">
      <c r="A94" s="172">
        <v>82</v>
      </c>
      <c r="B94" s="173" t="s">
        <v>52</v>
      </c>
      <c r="C94" s="174" t="s">
        <v>3</v>
      </c>
      <c r="D94" s="181">
        <f t="shared" si="35"/>
        <v>45378.151260504201</v>
      </c>
      <c r="E94" s="176">
        <f t="shared" si="36"/>
        <v>8621.8487394957974</v>
      </c>
      <c r="F94" s="177">
        <v>54000</v>
      </c>
      <c r="G94" s="175">
        <v>36328.377504848089</v>
      </c>
      <c r="H94" s="178">
        <v>6902.3917259211366</v>
      </c>
      <c r="I94" s="179">
        <v>43230.769230769227</v>
      </c>
      <c r="J94" s="180">
        <v>32666.666666666668</v>
      </c>
      <c r="K94" s="178">
        <f t="shared" si="37"/>
        <v>6206.6666666666679</v>
      </c>
      <c r="L94" s="179">
        <f t="shared" si="38"/>
        <v>38873.333333333336</v>
      </c>
      <c r="M94" s="181">
        <v>87000</v>
      </c>
      <c r="N94" s="182">
        <v>16530</v>
      </c>
      <c r="O94" s="179">
        <v>103530</v>
      </c>
      <c r="P94" s="181">
        <v>22622</v>
      </c>
      <c r="Q94" s="182">
        <v>4298.18</v>
      </c>
      <c r="R94" s="179">
        <v>26920.18</v>
      </c>
      <c r="S94" s="181">
        <v>63025.210084033613</v>
      </c>
      <c r="T94" s="182">
        <v>11974.789915966387</v>
      </c>
      <c r="U94" s="179">
        <v>75000</v>
      </c>
      <c r="V94" s="191">
        <v>32690.603699840191</v>
      </c>
      <c r="W94" s="182">
        <f t="shared" si="39"/>
        <v>6211.2147029696362</v>
      </c>
      <c r="X94" s="179">
        <f t="shared" si="40"/>
        <v>38901.818402809826</v>
      </c>
      <c r="Y94" s="184"/>
      <c r="Z94" s="177">
        <f t="shared" si="41"/>
        <v>39228.724439808226</v>
      </c>
      <c r="AB94" s="179">
        <f>ROUND(AVERAGE(G94,J94,V94),0)</f>
        <v>33895</v>
      </c>
      <c r="AC94" s="179">
        <f>ROUND(STDEVA(G94,J94,V94),0)</f>
        <v>2107</v>
      </c>
      <c r="AD94" s="158">
        <f t="shared" si="32"/>
        <v>6.2162560849682844E-2</v>
      </c>
      <c r="AE94" s="179">
        <f t="shared" si="33"/>
        <v>31788</v>
      </c>
      <c r="AF94" s="179">
        <f t="shared" si="34"/>
        <v>36002</v>
      </c>
      <c r="AH94" s="179" t="str">
        <f t="shared" si="42"/>
        <v/>
      </c>
      <c r="AI94" s="179" t="str">
        <f t="shared" si="43"/>
        <v/>
      </c>
      <c r="AJ94" s="179">
        <f t="shared" si="44"/>
        <v>32666.666666666668</v>
      </c>
      <c r="AK94" s="179" t="str">
        <f t="shared" si="45"/>
        <v/>
      </c>
      <c r="AL94" s="179" t="str">
        <f t="shared" si="46"/>
        <v/>
      </c>
      <c r="AM94" s="179" t="str">
        <f t="shared" si="47"/>
        <v/>
      </c>
      <c r="AN94" s="179">
        <f t="shared" si="48"/>
        <v>32690.603699840191</v>
      </c>
      <c r="AO94" s="179">
        <f t="shared" si="49"/>
        <v>32679</v>
      </c>
      <c r="AQ94" s="186">
        <f t="shared" si="50"/>
        <v>32679</v>
      </c>
      <c r="AR94" s="186">
        <f t="shared" si="51"/>
        <v>6209</v>
      </c>
      <c r="AS94" s="186">
        <f t="shared" si="52"/>
        <v>38888</v>
      </c>
      <c r="AU94" s="191">
        <v>32690.603699840191</v>
      </c>
      <c r="AV94" s="182">
        <f t="shared" si="53"/>
        <v>6211.2147029696362</v>
      </c>
      <c r="AW94" s="179">
        <f t="shared" si="54"/>
        <v>38901.818402809826</v>
      </c>
      <c r="AY94" s="158">
        <f t="shared" si="55"/>
        <v>-3.5495520201259709E-4</v>
      </c>
      <c r="AZ94" s="188" t="str">
        <f t="shared" si="56"/>
        <v>AUMENTO</v>
      </c>
      <c r="BA94" s="159"/>
      <c r="BC94" s="177">
        <v>39228.724439808226</v>
      </c>
      <c r="BE94" s="189">
        <f t="shared" si="57"/>
        <v>6536</v>
      </c>
      <c r="BF94" s="190">
        <f t="shared" si="58"/>
        <v>39215</v>
      </c>
      <c r="BG94" s="190">
        <f t="shared" si="59"/>
        <v>39215</v>
      </c>
    </row>
    <row r="95" spans="1:59" s="166" customFormat="1" ht="12" x14ac:dyDescent="0.2">
      <c r="A95" s="172">
        <v>83</v>
      </c>
      <c r="B95" s="173" t="s">
        <v>233</v>
      </c>
      <c r="C95" s="174" t="s">
        <v>53</v>
      </c>
      <c r="D95" s="175">
        <f t="shared" si="35"/>
        <v>9264.7058823529424</v>
      </c>
      <c r="E95" s="176">
        <f t="shared" si="36"/>
        <v>1760.294117647059</v>
      </c>
      <c r="F95" s="177">
        <v>11025</v>
      </c>
      <c r="G95" s="175">
        <v>9825.4686489980613</v>
      </c>
      <c r="H95" s="178">
        <v>1866.8390433096317</v>
      </c>
      <c r="I95" s="179">
        <v>11692.307692307693</v>
      </c>
      <c r="J95" s="180">
        <v>9600</v>
      </c>
      <c r="K95" s="178">
        <f t="shared" si="37"/>
        <v>1824</v>
      </c>
      <c r="L95" s="179">
        <f t="shared" si="38"/>
        <v>11424</v>
      </c>
      <c r="M95" s="181">
        <v>82200</v>
      </c>
      <c r="N95" s="198">
        <v>15618</v>
      </c>
      <c r="O95" s="181">
        <v>97818</v>
      </c>
      <c r="P95" s="181">
        <v>12773</v>
      </c>
      <c r="Q95" s="198">
        <v>2426.87</v>
      </c>
      <c r="R95" s="181">
        <v>15199.869999999999</v>
      </c>
      <c r="S95" s="181">
        <v>19159.663865546219</v>
      </c>
      <c r="T95" s="182">
        <v>3640.3361344537816</v>
      </c>
      <c r="U95" s="179">
        <v>22800</v>
      </c>
      <c r="V95" s="191">
        <v>8258.3674269042058</v>
      </c>
      <c r="W95" s="182">
        <f t="shared" si="39"/>
        <v>1569.0898111117992</v>
      </c>
      <c r="X95" s="179">
        <f t="shared" si="40"/>
        <v>9827.4572380160043</v>
      </c>
      <c r="Y95" s="184"/>
      <c r="Z95" s="177">
        <f t="shared" si="41"/>
        <v>9910.0409122850469</v>
      </c>
      <c r="AB95" s="179">
        <f>ROUND(AVERAGE(D95,G95,J95,V95),0)</f>
        <v>9237</v>
      </c>
      <c r="AC95" s="179">
        <f>ROUND(STDEVA(D95,G95,J95,V95),0)</f>
        <v>692</v>
      </c>
      <c r="AD95" s="158">
        <f t="shared" si="32"/>
        <v>7.4916098300313955E-2</v>
      </c>
      <c r="AE95" s="179">
        <f t="shared" si="33"/>
        <v>8545</v>
      </c>
      <c r="AF95" s="179">
        <f t="shared" si="34"/>
        <v>9929</v>
      </c>
      <c r="AH95" s="179">
        <f t="shared" si="42"/>
        <v>9264.7058823529424</v>
      </c>
      <c r="AI95" s="179">
        <f t="shared" si="43"/>
        <v>9825.4686489980613</v>
      </c>
      <c r="AJ95" s="179">
        <f t="shared" si="44"/>
        <v>9600</v>
      </c>
      <c r="AK95" s="179" t="str">
        <f t="shared" si="45"/>
        <v/>
      </c>
      <c r="AL95" s="179" t="str">
        <f t="shared" si="46"/>
        <v/>
      </c>
      <c r="AM95" s="179" t="str">
        <f t="shared" si="47"/>
        <v/>
      </c>
      <c r="AN95" s="179" t="str">
        <f t="shared" si="48"/>
        <v/>
      </c>
      <c r="AO95" s="179">
        <f t="shared" si="49"/>
        <v>9563</v>
      </c>
      <c r="AQ95" s="186">
        <f t="shared" si="50"/>
        <v>9563</v>
      </c>
      <c r="AR95" s="186">
        <f t="shared" si="51"/>
        <v>1817</v>
      </c>
      <c r="AS95" s="186">
        <f t="shared" si="52"/>
        <v>11380</v>
      </c>
      <c r="AU95" s="191">
        <v>8258.3674269042058</v>
      </c>
      <c r="AV95" s="182">
        <f t="shared" si="53"/>
        <v>1569.0898111117992</v>
      </c>
      <c r="AW95" s="179">
        <f t="shared" si="54"/>
        <v>9827.4572380160043</v>
      </c>
      <c r="AY95" s="158">
        <f t="shared" si="55"/>
        <v>0.15797705595485459</v>
      </c>
      <c r="AZ95" s="188" t="str">
        <f t="shared" si="56"/>
        <v>AUMENTO</v>
      </c>
      <c r="BA95" s="159"/>
      <c r="BC95" s="177">
        <v>9910.0409122850469</v>
      </c>
      <c r="BE95" s="189">
        <f t="shared" si="57"/>
        <v>1913</v>
      </c>
      <c r="BF95" s="190">
        <f t="shared" si="58"/>
        <v>11476</v>
      </c>
      <c r="BG95" s="190">
        <f t="shared" si="59"/>
        <v>11476</v>
      </c>
    </row>
    <row r="96" spans="1:59" s="166" customFormat="1" ht="12.75" thickBot="1" x14ac:dyDescent="0.25">
      <c r="A96" s="204">
        <v>84</v>
      </c>
      <c r="B96" s="205" t="s">
        <v>234</v>
      </c>
      <c r="C96" s="206" t="s">
        <v>3</v>
      </c>
      <c r="D96" s="175">
        <f t="shared" si="35"/>
        <v>182773.10924369749</v>
      </c>
      <c r="E96" s="176">
        <f t="shared" si="36"/>
        <v>34726.89075630252</v>
      </c>
      <c r="F96" s="207">
        <v>217500</v>
      </c>
      <c r="G96" s="181">
        <v>218358.11247575955</v>
      </c>
      <c r="H96" s="178">
        <v>41488.041370394312</v>
      </c>
      <c r="I96" s="179">
        <v>259846.15384615387</v>
      </c>
      <c r="J96" s="208">
        <v>181333.33333333334</v>
      </c>
      <c r="K96" s="178">
        <f t="shared" si="37"/>
        <v>34453.333333333336</v>
      </c>
      <c r="L96" s="179">
        <f t="shared" si="38"/>
        <v>215786.66666666669</v>
      </c>
      <c r="M96" s="181">
        <v>480000</v>
      </c>
      <c r="N96" s="182">
        <v>91200</v>
      </c>
      <c r="O96" s="179">
        <v>571200</v>
      </c>
      <c r="P96" s="175">
        <v>131419</v>
      </c>
      <c r="Q96" s="182">
        <v>24969.61</v>
      </c>
      <c r="R96" s="179">
        <v>156388.60999999999</v>
      </c>
      <c r="S96" s="181">
        <v>423277.31092436978</v>
      </c>
      <c r="T96" s="182">
        <v>80422.68907563026</v>
      </c>
      <c r="U96" s="179">
        <v>503700.00000000006</v>
      </c>
      <c r="V96" s="191">
        <v>167875.02717284378</v>
      </c>
      <c r="W96" s="182">
        <f t="shared" si="39"/>
        <v>31896.255162840316</v>
      </c>
      <c r="X96" s="179">
        <f t="shared" si="40"/>
        <v>199771.28233568411</v>
      </c>
      <c r="Y96" s="184"/>
      <c r="Z96" s="177">
        <f t="shared" si="41"/>
        <v>201450.03260741252</v>
      </c>
      <c r="AB96" s="179">
        <f>ROUND(AVERAGE(D96,J96,V96),0)</f>
        <v>177327</v>
      </c>
      <c r="AC96" s="179">
        <f>ROUND(STDEVA(D96,J96,V96),0)</f>
        <v>8217</v>
      </c>
      <c r="AD96" s="158">
        <f t="shared" si="32"/>
        <v>4.6338121098309905E-2</v>
      </c>
      <c r="AE96" s="179">
        <f t="shared" si="33"/>
        <v>169110</v>
      </c>
      <c r="AF96" s="179">
        <f t="shared" si="34"/>
        <v>185544</v>
      </c>
      <c r="AH96" s="179">
        <f t="shared" si="42"/>
        <v>182773.10924369749</v>
      </c>
      <c r="AI96" s="179" t="str">
        <f t="shared" si="43"/>
        <v/>
      </c>
      <c r="AJ96" s="179">
        <f t="shared" si="44"/>
        <v>181333.33333333334</v>
      </c>
      <c r="AK96" s="179" t="str">
        <f t="shared" si="45"/>
        <v/>
      </c>
      <c r="AL96" s="179" t="str">
        <f t="shared" si="46"/>
        <v/>
      </c>
      <c r="AM96" s="179" t="str">
        <f t="shared" si="47"/>
        <v/>
      </c>
      <c r="AN96" s="179" t="str">
        <f t="shared" si="48"/>
        <v/>
      </c>
      <c r="AO96" s="179">
        <f t="shared" si="49"/>
        <v>182053</v>
      </c>
      <c r="AQ96" s="186">
        <f t="shared" si="50"/>
        <v>182053</v>
      </c>
      <c r="AR96" s="186">
        <f t="shared" si="51"/>
        <v>34590</v>
      </c>
      <c r="AS96" s="186">
        <f t="shared" si="52"/>
        <v>216643</v>
      </c>
      <c r="AU96" s="191">
        <v>167875.02717284378</v>
      </c>
      <c r="AV96" s="182">
        <f t="shared" si="53"/>
        <v>31896.255162840316</v>
      </c>
      <c r="AW96" s="179">
        <f t="shared" si="54"/>
        <v>199771.28233568411</v>
      </c>
      <c r="AY96" s="158">
        <f t="shared" si="55"/>
        <v>8.4455520668709164E-2</v>
      </c>
      <c r="AZ96" s="188" t="str">
        <f t="shared" si="56"/>
        <v>AUMENTO</v>
      </c>
      <c r="BA96" s="159"/>
      <c r="BC96" s="177">
        <v>201450.03260741252</v>
      </c>
      <c r="BE96" s="189">
        <f t="shared" si="57"/>
        <v>36411</v>
      </c>
      <c r="BF96" s="190">
        <f t="shared" si="58"/>
        <v>218464</v>
      </c>
      <c r="BG96" s="190">
        <f t="shared" si="59"/>
        <v>218464</v>
      </c>
    </row>
    <row r="97" spans="4:55" s="137" customFormat="1" x14ac:dyDescent="0.2">
      <c r="D97" s="209">
        <f>SUM(D13:D96)</f>
        <v>12504046.638655465</v>
      </c>
      <c r="E97" s="210"/>
      <c r="F97" s="211"/>
      <c r="G97" s="209">
        <f>SUM(G13:G96)</f>
        <v>8374787.3303167401</v>
      </c>
      <c r="H97" s="209"/>
      <c r="I97" s="209"/>
      <c r="J97" s="209">
        <f>SUM(J13:J96)</f>
        <v>6432933.333333333</v>
      </c>
      <c r="K97" s="209"/>
      <c r="L97" s="209"/>
      <c r="M97" s="209">
        <f>SUM(M13:M96)</f>
        <v>20959689</v>
      </c>
      <c r="N97" s="209"/>
      <c r="O97" s="209"/>
      <c r="P97" s="209">
        <f>SUM(P13:P96)</f>
        <v>11254991</v>
      </c>
      <c r="Q97" s="209"/>
      <c r="R97" s="209"/>
      <c r="S97" s="209">
        <f>SUM(S13:S96)</f>
        <v>14646315.126050416</v>
      </c>
      <c r="T97" s="209"/>
      <c r="U97" s="209"/>
      <c r="V97" s="209">
        <f>SUM(V13:V96)</f>
        <v>7170576.0798296155</v>
      </c>
      <c r="W97" s="138"/>
      <c r="X97" s="138"/>
      <c r="Y97" s="212"/>
      <c r="Z97" s="212"/>
      <c r="AU97" s="209">
        <f>SUM(AU13:AU96)</f>
        <v>7170576.0798296155</v>
      </c>
      <c r="AV97" s="138"/>
      <c r="AW97" s="138"/>
      <c r="BC97" s="148"/>
    </row>
    <row r="98" spans="4:55" x14ac:dyDescent="0.25">
      <c r="BC98" s="163"/>
    </row>
  </sheetData>
  <mergeCells count="18">
    <mergeCell ref="P10:R10"/>
    <mergeCell ref="A1:U2"/>
    <mergeCell ref="D3:E3"/>
    <mergeCell ref="D4:G4"/>
    <mergeCell ref="D5:G5"/>
    <mergeCell ref="D6:G6"/>
    <mergeCell ref="D7:G7"/>
    <mergeCell ref="D8:G8"/>
    <mergeCell ref="D10:F10"/>
    <mergeCell ref="G10:I10"/>
    <mergeCell ref="J10:L10"/>
    <mergeCell ref="M10:O10"/>
    <mergeCell ref="S10:U10"/>
    <mergeCell ref="V10:X10"/>
    <mergeCell ref="AU10:AW10"/>
    <mergeCell ref="AB11:AF11"/>
    <mergeCell ref="AO11:AO12"/>
    <mergeCell ref="AQ11:AS11"/>
  </mergeCells>
  <conditionalFormatting sqref="AD13:AD96">
    <cfRule type="cellIs" dxfId="2" priority="1" operator="greaterThan">
      <formula>0.35</formula>
    </cfRule>
  </conditionalFormatting>
  <conditionalFormatting sqref="AE13:AF96">
    <cfRule type="cellIs" dxfId="1" priority="4" operator="lessThan">
      <formula>0</formula>
    </cfRule>
  </conditionalFormatting>
  <conditionalFormatting sqref="AH13:AO96">
    <cfRule type="cellIs" dxfId="0" priority="3" operator="lessThan">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F42954C6-9C97-4E6F-A29E-DF944F124525}">
            <x14:iconSet iconSet="3Triangles">
              <x14:cfvo type="percent">
                <xm:f>0</xm:f>
              </x14:cfvo>
              <x14:cfvo type="percent">
                <xm:f>33</xm:f>
              </x14:cfvo>
              <x14:cfvo type="percent">
                <xm:f>67</xm:f>
              </x14:cfvo>
            </x14:iconSet>
          </x14:cfRule>
          <xm:sqref>AZ13:AZ96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21"/>
  <sheetViews>
    <sheetView showGridLines="0" tabSelected="1" topLeftCell="A5" zoomScale="70" zoomScaleNormal="70" zoomScaleSheetLayoutView="70" workbookViewId="0">
      <selection activeCell="N22" sqref="N22"/>
    </sheetView>
  </sheetViews>
  <sheetFormatPr baseColWidth="10" defaultRowHeight="15.75" x14ac:dyDescent="0.25"/>
  <cols>
    <col min="1" max="2" width="11.42578125" style="99"/>
    <col min="3" max="3" width="14.85546875" style="99" customWidth="1"/>
    <col min="4" max="12" width="11.42578125" style="99"/>
    <col min="13" max="13" width="19.42578125" style="99" customWidth="1"/>
    <col min="14" max="16384" width="11.42578125" style="99"/>
  </cols>
  <sheetData>
    <row r="1" spans="1:259" ht="78" customHeight="1" thickBot="1" x14ac:dyDescent="0.3">
      <c r="A1" s="247" t="s">
        <v>240</v>
      </c>
      <c r="B1" s="248"/>
      <c r="C1" s="248"/>
      <c r="D1" s="248"/>
      <c r="E1" s="248"/>
      <c r="F1" s="248"/>
      <c r="G1" s="248"/>
      <c r="H1" s="248"/>
      <c r="I1" s="248"/>
      <c r="J1" s="248"/>
      <c r="K1" s="248"/>
      <c r="L1" s="248"/>
      <c r="M1" s="248"/>
      <c r="N1" s="248"/>
      <c r="O1" s="248"/>
      <c r="P1" s="248"/>
      <c r="Q1" s="248"/>
      <c r="R1" s="248"/>
      <c r="S1" s="249"/>
    </row>
    <row r="2" spans="1:259" ht="16.5" thickBot="1" x14ac:dyDescent="0.3"/>
    <row r="3" spans="1:259" ht="402.75" customHeight="1" thickBot="1" x14ac:dyDescent="0.3">
      <c r="A3" s="253" t="s">
        <v>291</v>
      </c>
      <c r="B3" s="254"/>
      <c r="C3" s="254"/>
      <c r="D3" s="254"/>
      <c r="E3" s="254"/>
      <c r="F3" s="254"/>
      <c r="G3" s="254"/>
      <c r="H3" s="254"/>
      <c r="I3" s="254"/>
      <c r="J3" s="254"/>
      <c r="K3" s="254"/>
      <c r="L3" s="254"/>
      <c r="M3" s="254"/>
      <c r="N3" s="254"/>
      <c r="O3" s="254"/>
      <c r="P3" s="254"/>
      <c r="Q3" s="254"/>
      <c r="R3" s="254"/>
      <c r="S3" s="255"/>
      <c r="V3" s="100"/>
      <c r="X3" s="101"/>
      <c r="Y3" s="101"/>
      <c r="Z3" s="101"/>
      <c r="AA3" s="101"/>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c r="EY3" s="102"/>
      <c r="EZ3" s="102"/>
      <c r="FA3" s="102"/>
      <c r="FB3" s="102"/>
      <c r="FC3" s="102"/>
      <c r="FD3" s="102"/>
      <c r="FE3" s="102"/>
      <c r="FF3" s="102"/>
      <c r="FG3" s="102"/>
      <c r="FH3" s="102"/>
      <c r="FI3" s="102"/>
      <c r="FJ3" s="102"/>
      <c r="FK3" s="102"/>
      <c r="FL3" s="102"/>
      <c r="FM3" s="102"/>
      <c r="FN3" s="102"/>
      <c r="FO3" s="102"/>
      <c r="FP3" s="102"/>
      <c r="FQ3" s="102"/>
      <c r="FR3" s="102"/>
      <c r="FS3" s="102"/>
      <c r="FT3" s="102"/>
      <c r="FU3" s="102"/>
      <c r="FV3" s="102"/>
      <c r="FW3" s="102"/>
      <c r="FX3" s="102"/>
      <c r="FY3" s="102"/>
      <c r="FZ3" s="102"/>
      <c r="GA3" s="102"/>
      <c r="GB3" s="102"/>
      <c r="GC3" s="102"/>
      <c r="GD3" s="102"/>
      <c r="GE3" s="102"/>
      <c r="GF3" s="102"/>
      <c r="GG3" s="102"/>
      <c r="GH3" s="102"/>
      <c r="GI3" s="102"/>
      <c r="GJ3" s="102"/>
      <c r="GK3" s="102"/>
      <c r="GL3" s="102"/>
      <c r="GM3" s="102"/>
      <c r="GN3" s="102"/>
      <c r="GO3" s="102"/>
      <c r="GP3" s="102"/>
      <c r="GQ3" s="102"/>
      <c r="GR3" s="102"/>
      <c r="GS3" s="102"/>
      <c r="GT3" s="102"/>
      <c r="GU3" s="102"/>
      <c r="GV3" s="102"/>
      <c r="GW3" s="102"/>
      <c r="GX3" s="102"/>
      <c r="GY3" s="102"/>
      <c r="GZ3" s="102"/>
      <c r="HA3" s="102"/>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row>
    <row r="4" spans="1:259" x14ac:dyDescent="0.25">
      <c r="C4" s="104"/>
      <c r="H4" s="105"/>
      <c r="J4" s="106"/>
      <c r="K4" s="105"/>
      <c r="L4" s="104"/>
      <c r="M4" s="107"/>
      <c r="N4" s="105"/>
      <c r="O4" s="105"/>
      <c r="P4" s="105"/>
      <c r="Q4" s="105"/>
      <c r="V4" s="103"/>
    </row>
    <row r="5" spans="1:259" ht="31.5" x14ac:dyDescent="0.25">
      <c r="C5" s="104" t="s">
        <v>241</v>
      </c>
      <c r="H5" s="105"/>
      <c r="J5" s="106"/>
      <c r="K5" s="105"/>
      <c r="L5" s="104" t="s">
        <v>242</v>
      </c>
      <c r="M5" s="107"/>
      <c r="N5" s="105"/>
      <c r="O5" s="105"/>
      <c r="P5" s="105"/>
      <c r="Q5" s="105"/>
      <c r="V5" s="103"/>
    </row>
    <row r="6" spans="1:259" x14ac:dyDescent="0.25">
      <c r="H6" s="105"/>
      <c r="J6" s="106"/>
      <c r="K6" s="105"/>
      <c r="M6" s="107"/>
      <c r="N6" s="105"/>
      <c r="O6" s="105"/>
      <c r="P6" s="105"/>
      <c r="Q6" s="105"/>
      <c r="V6" s="103"/>
    </row>
    <row r="7" spans="1:259" x14ac:dyDescent="0.25">
      <c r="H7" s="105"/>
      <c r="J7" s="106"/>
      <c r="K7" s="105"/>
      <c r="M7" s="107"/>
      <c r="N7" s="105"/>
      <c r="O7" s="105"/>
      <c r="P7" s="105"/>
      <c r="Q7" s="105"/>
      <c r="V7" s="103"/>
    </row>
    <row r="8" spans="1:259" x14ac:dyDescent="0.25">
      <c r="C8" s="250" t="s">
        <v>243</v>
      </c>
      <c r="D8" s="250"/>
      <c r="E8" s="250"/>
      <c r="F8" s="250"/>
      <c r="H8" s="251"/>
      <c r="I8" s="251"/>
      <c r="J8" s="251"/>
      <c r="K8" s="251"/>
      <c r="L8" s="108"/>
      <c r="M8" s="252" t="s">
        <v>244</v>
      </c>
      <c r="N8" s="252"/>
      <c r="O8" s="252"/>
      <c r="P8" s="252"/>
      <c r="Q8" s="105"/>
      <c r="V8" s="103"/>
    </row>
    <row r="9" spans="1:259" ht="39" customHeight="1" x14ac:dyDescent="0.25">
      <c r="C9" s="246" t="s">
        <v>245</v>
      </c>
      <c r="D9" s="246"/>
      <c r="E9" s="246"/>
      <c r="F9" s="246"/>
      <c r="H9" s="246"/>
      <c r="I9" s="246"/>
      <c r="J9" s="246"/>
      <c r="K9" s="246"/>
      <c r="L9" s="109"/>
      <c r="M9" s="246" t="s">
        <v>246</v>
      </c>
      <c r="N9" s="246"/>
      <c r="O9" s="246"/>
      <c r="P9" s="246"/>
      <c r="Q9" s="105"/>
      <c r="V9" s="103"/>
    </row>
    <row r="10" spans="1:259" x14ac:dyDescent="0.25">
      <c r="C10" s="110" t="s">
        <v>247</v>
      </c>
      <c r="D10" s="256">
        <v>45352</v>
      </c>
      <c r="E10" s="257"/>
      <c r="F10" s="257"/>
      <c r="H10" s="111"/>
      <c r="I10" s="258"/>
      <c r="J10" s="258"/>
      <c r="K10" s="258"/>
      <c r="L10" s="112"/>
      <c r="M10" s="110" t="s">
        <v>247</v>
      </c>
      <c r="N10" s="256">
        <v>45352</v>
      </c>
      <c r="O10" s="257"/>
      <c r="P10" s="257"/>
      <c r="Q10" s="105"/>
      <c r="V10" s="103"/>
    </row>
    <row r="11" spans="1:259" x14ac:dyDescent="0.25">
      <c r="H11" s="105"/>
      <c r="J11" s="106"/>
      <c r="K11" s="105"/>
      <c r="M11" s="107"/>
      <c r="N11" s="105"/>
      <c r="O11" s="105"/>
      <c r="P11" s="105"/>
      <c r="Q11" s="105"/>
      <c r="V11" s="103"/>
    </row>
    <row r="12" spans="1:259" x14ac:dyDescent="0.25">
      <c r="H12" s="105"/>
      <c r="J12" s="106"/>
      <c r="K12" s="105"/>
      <c r="M12" s="107"/>
      <c r="N12" s="105"/>
      <c r="O12" s="105"/>
      <c r="P12" s="105"/>
      <c r="Q12" s="105"/>
      <c r="V12" s="103"/>
    </row>
    <row r="13" spans="1:259" x14ac:dyDescent="0.25">
      <c r="H13" s="105"/>
      <c r="J13" s="106"/>
      <c r="K13" s="105"/>
      <c r="M13" s="107"/>
      <c r="N13" s="105"/>
      <c r="O13" s="105"/>
      <c r="P13" s="105"/>
      <c r="Q13" s="105"/>
      <c r="V13" s="103"/>
    </row>
    <row r="14" spans="1:259" x14ac:dyDescent="0.25">
      <c r="H14" s="105"/>
      <c r="J14" s="106"/>
      <c r="K14" s="105"/>
      <c r="M14" s="107"/>
      <c r="N14" s="105"/>
      <c r="O14" s="105"/>
      <c r="P14" s="105"/>
      <c r="Q14" s="105"/>
      <c r="V14" s="103"/>
    </row>
    <row r="15" spans="1:259" ht="31.5" x14ac:dyDescent="0.25">
      <c r="C15" s="104" t="s">
        <v>242</v>
      </c>
      <c r="H15" s="105"/>
      <c r="J15" s="106"/>
      <c r="K15" s="105"/>
      <c r="L15" s="104" t="s">
        <v>248</v>
      </c>
      <c r="M15" s="107"/>
      <c r="N15" s="105"/>
      <c r="O15" s="105"/>
      <c r="P15" s="105"/>
      <c r="Q15" s="105"/>
      <c r="V15" s="103"/>
    </row>
    <row r="16" spans="1:259" x14ac:dyDescent="0.25">
      <c r="C16" s="104"/>
      <c r="H16" s="105"/>
      <c r="J16" s="106"/>
      <c r="K16" s="105"/>
      <c r="L16" s="104"/>
      <c r="M16" s="107"/>
      <c r="N16" s="105"/>
      <c r="O16" s="105"/>
      <c r="P16" s="105"/>
      <c r="Q16" s="105"/>
      <c r="V16" s="103"/>
    </row>
    <row r="17" spans="3:22" x14ac:dyDescent="0.25">
      <c r="C17" s="104"/>
      <c r="H17" s="105"/>
      <c r="J17" s="106"/>
      <c r="K17" s="105"/>
      <c r="L17" s="104"/>
      <c r="M17" s="107"/>
      <c r="N17" s="105"/>
      <c r="O17" s="105"/>
      <c r="P17" s="105"/>
      <c r="Q17" s="105"/>
      <c r="V17" s="103"/>
    </row>
    <row r="18" spans="3:22" x14ac:dyDescent="0.25">
      <c r="H18" s="105"/>
      <c r="J18" s="106"/>
      <c r="K18" s="105"/>
      <c r="M18" s="107"/>
      <c r="N18" s="105"/>
      <c r="O18" s="105"/>
      <c r="P18" s="105"/>
      <c r="Q18" s="105"/>
      <c r="V18" s="103"/>
    </row>
    <row r="19" spans="3:22" x14ac:dyDescent="0.25">
      <c r="C19" s="252"/>
      <c r="D19" s="252"/>
      <c r="E19" s="252"/>
      <c r="F19" s="252"/>
      <c r="K19" s="113"/>
      <c r="L19" s="109"/>
      <c r="M19" s="259"/>
      <c r="N19" s="259"/>
      <c r="O19" s="259"/>
      <c r="P19" s="259"/>
      <c r="Q19" s="105"/>
      <c r="V19" s="103"/>
    </row>
    <row r="20" spans="3:22" x14ac:dyDescent="0.25">
      <c r="C20" s="260" t="s">
        <v>249</v>
      </c>
      <c r="D20" s="260"/>
      <c r="E20" s="260"/>
      <c r="F20" s="260"/>
      <c r="K20" s="109"/>
      <c r="L20" s="109"/>
      <c r="M20" s="261" t="s">
        <v>250</v>
      </c>
      <c r="N20" s="261"/>
      <c r="O20" s="261"/>
      <c r="P20" s="261"/>
      <c r="Q20" s="105"/>
      <c r="V20" s="103"/>
    </row>
    <row r="21" spans="3:22" x14ac:dyDescent="0.25">
      <c r="C21" s="110" t="s">
        <v>247</v>
      </c>
      <c r="D21" s="256">
        <v>45352</v>
      </c>
      <c r="E21" s="257"/>
      <c r="F21" s="257"/>
      <c r="K21" s="112"/>
      <c r="L21" s="112"/>
      <c r="M21" s="110" t="s">
        <v>247</v>
      </c>
      <c r="N21" s="256">
        <v>45352</v>
      </c>
      <c r="O21" s="257"/>
      <c r="P21" s="257"/>
      <c r="Q21" s="105"/>
      <c r="V21" s="103"/>
    </row>
  </sheetData>
  <mergeCells count="17">
    <mergeCell ref="D21:F21"/>
    <mergeCell ref="N21:P21"/>
    <mergeCell ref="D10:F10"/>
    <mergeCell ref="I10:K10"/>
    <mergeCell ref="N10:P10"/>
    <mergeCell ref="C19:F19"/>
    <mergeCell ref="M19:P19"/>
    <mergeCell ref="C20:F20"/>
    <mergeCell ref="M20:P20"/>
    <mergeCell ref="C9:F9"/>
    <mergeCell ref="H9:K9"/>
    <mergeCell ref="M9:P9"/>
    <mergeCell ref="A1:S1"/>
    <mergeCell ref="C8:F8"/>
    <mergeCell ref="H8:K8"/>
    <mergeCell ref="M8:P8"/>
    <mergeCell ref="A3:S3"/>
  </mergeCells>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topLeftCell="A79" workbookViewId="0">
      <selection activeCell="D90" sqref="D90"/>
    </sheetView>
  </sheetViews>
  <sheetFormatPr baseColWidth="10" defaultRowHeight="15" x14ac:dyDescent="0.25"/>
  <cols>
    <col min="2" max="2" width="32.7109375" customWidth="1"/>
    <col min="4" max="6" width="14.5703125" customWidth="1"/>
  </cols>
  <sheetData>
    <row r="1" spans="1:8" s="114" customFormat="1" ht="15" customHeight="1" x14ac:dyDescent="0.25">
      <c r="A1" s="262" t="s">
        <v>255</v>
      </c>
      <c r="B1" s="262"/>
      <c r="C1" s="262"/>
      <c r="D1" s="262"/>
      <c r="E1" s="262"/>
      <c r="F1" s="262"/>
      <c r="G1" s="119"/>
    </row>
    <row r="2" spans="1:8" s="114" customFormat="1" ht="43.5" customHeight="1" x14ac:dyDescent="0.25">
      <c r="A2" s="262"/>
      <c r="B2" s="262"/>
      <c r="C2" s="262"/>
      <c r="D2" s="262"/>
      <c r="E2" s="262"/>
      <c r="F2" s="262"/>
      <c r="G2" s="119"/>
    </row>
    <row r="3" spans="1:8" s="114" customFormat="1" x14ac:dyDescent="0.25">
      <c r="B3" s="115"/>
      <c r="D3" s="116"/>
      <c r="E3" s="116"/>
    </row>
    <row r="4" spans="1:8" s="114" customFormat="1" ht="15.75" thickBot="1" x14ac:dyDescent="0.3">
      <c r="B4" s="115"/>
      <c r="D4" s="116"/>
      <c r="E4" s="116"/>
      <c r="H4" s="117"/>
    </row>
    <row r="5" spans="1:8" s="5" customFormat="1" ht="39.75" customHeight="1" x14ac:dyDescent="0.25">
      <c r="A5" s="122" t="s">
        <v>251</v>
      </c>
      <c r="B5" s="123" t="s">
        <v>252</v>
      </c>
      <c r="C5" s="123" t="s">
        <v>39</v>
      </c>
      <c r="D5" s="124" t="s">
        <v>253</v>
      </c>
      <c r="E5" s="124" t="s">
        <v>239</v>
      </c>
      <c r="F5" s="125" t="s">
        <v>254</v>
      </c>
      <c r="H5" s="118"/>
    </row>
    <row r="6" spans="1:8" ht="69.95" customHeight="1" x14ac:dyDescent="0.25">
      <c r="A6" s="126">
        <v>1</v>
      </c>
      <c r="B6" s="96" t="s">
        <v>114</v>
      </c>
      <c r="C6" s="97" t="s">
        <v>39</v>
      </c>
      <c r="D6" s="120">
        <v>86396</v>
      </c>
      <c r="E6" s="120">
        <f>+D6*19/100</f>
        <v>16415.240000000002</v>
      </c>
      <c r="F6" s="127">
        <f>+E6+D6</f>
        <v>102811.24</v>
      </c>
    </row>
    <row r="7" spans="1:8" ht="69.95" customHeight="1" x14ac:dyDescent="0.25">
      <c r="A7" s="126">
        <v>2</v>
      </c>
      <c r="B7" s="96" t="s">
        <v>115</v>
      </c>
      <c r="C7" s="97" t="s">
        <v>39</v>
      </c>
      <c r="D7" s="120">
        <v>86767</v>
      </c>
      <c r="E7" s="120">
        <f t="shared" ref="E7:E70" si="0">+D7*19/100</f>
        <v>16485.73</v>
      </c>
      <c r="F7" s="127">
        <f t="shared" ref="F7:F70" si="1">+E7+D7</f>
        <v>103252.73</v>
      </c>
    </row>
    <row r="8" spans="1:8" ht="69.95" customHeight="1" x14ac:dyDescent="0.25">
      <c r="A8" s="126">
        <v>3</v>
      </c>
      <c r="B8" s="96" t="s">
        <v>112</v>
      </c>
      <c r="C8" s="97" t="s">
        <v>3</v>
      </c>
      <c r="D8" s="120">
        <v>26489</v>
      </c>
      <c r="E8" s="120">
        <f t="shared" si="0"/>
        <v>5032.91</v>
      </c>
      <c r="F8" s="127">
        <f t="shared" si="1"/>
        <v>31521.91</v>
      </c>
    </row>
    <row r="9" spans="1:8" ht="69.95" customHeight="1" x14ac:dyDescent="0.25">
      <c r="A9" s="126">
        <v>4</v>
      </c>
      <c r="B9" s="96" t="s">
        <v>116</v>
      </c>
      <c r="C9" s="97" t="s">
        <v>3</v>
      </c>
      <c r="D9" s="120">
        <v>8843</v>
      </c>
      <c r="E9" s="120">
        <f t="shared" si="0"/>
        <v>1680.17</v>
      </c>
      <c r="F9" s="127">
        <f t="shared" si="1"/>
        <v>10523.17</v>
      </c>
    </row>
    <row r="10" spans="1:8" ht="69.95" customHeight="1" x14ac:dyDescent="0.25">
      <c r="A10" s="126">
        <v>5</v>
      </c>
      <c r="B10" s="96" t="s">
        <v>117</v>
      </c>
      <c r="C10" s="97" t="s">
        <v>3</v>
      </c>
      <c r="D10" s="120">
        <v>8811</v>
      </c>
      <c r="E10" s="120">
        <f t="shared" si="0"/>
        <v>1674.09</v>
      </c>
      <c r="F10" s="127">
        <f t="shared" si="1"/>
        <v>10485.09</v>
      </c>
    </row>
    <row r="11" spans="1:8" ht="69.95" customHeight="1" x14ac:dyDescent="0.25">
      <c r="A11" s="126">
        <v>6</v>
      </c>
      <c r="B11" s="96" t="s">
        <v>118</v>
      </c>
      <c r="C11" s="97" t="s">
        <v>3</v>
      </c>
      <c r="D11" s="120">
        <v>1277</v>
      </c>
      <c r="E11" s="120">
        <f t="shared" si="0"/>
        <v>242.63</v>
      </c>
      <c r="F11" s="127">
        <f t="shared" si="1"/>
        <v>1519.63</v>
      </c>
    </row>
    <row r="12" spans="1:8" ht="69.95" customHeight="1" x14ac:dyDescent="0.25">
      <c r="A12" s="126">
        <v>7</v>
      </c>
      <c r="B12" s="61" t="s">
        <v>119</v>
      </c>
      <c r="C12" s="97" t="s">
        <v>3</v>
      </c>
      <c r="D12" s="120">
        <v>141270</v>
      </c>
      <c r="E12" s="120">
        <f t="shared" si="0"/>
        <v>26841.3</v>
      </c>
      <c r="F12" s="127">
        <f t="shared" si="1"/>
        <v>168111.3</v>
      </c>
    </row>
    <row r="13" spans="1:8" ht="69.95" customHeight="1" x14ac:dyDescent="0.25">
      <c r="A13" s="128">
        <v>8</v>
      </c>
      <c r="B13" s="96" t="s">
        <v>121</v>
      </c>
      <c r="C13" s="97" t="s">
        <v>9</v>
      </c>
      <c r="D13" s="120">
        <v>9267</v>
      </c>
      <c r="E13" s="120">
        <f t="shared" si="0"/>
        <v>1760.73</v>
      </c>
      <c r="F13" s="127">
        <f t="shared" si="1"/>
        <v>11027.73</v>
      </c>
    </row>
    <row r="14" spans="1:8" ht="69.95" customHeight="1" x14ac:dyDescent="0.25">
      <c r="A14" s="126">
        <v>9</v>
      </c>
      <c r="B14" s="96" t="s">
        <v>40</v>
      </c>
      <c r="C14" s="97" t="s">
        <v>3</v>
      </c>
      <c r="D14" s="120">
        <v>52958</v>
      </c>
      <c r="E14" s="120">
        <f t="shared" si="0"/>
        <v>10062.02</v>
      </c>
      <c r="F14" s="127">
        <f t="shared" si="1"/>
        <v>63020.020000000004</v>
      </c>
    </row>
    <row r="15" spans="1:8" ht="69.95" customHeight="1" x14ac:dyDescent="0.25">
      <c r="A15" s="126">
        <v>10</v>
      </c>
      <c r="B15" s="96" t="s">
        <v>123</v>
      </c>
      <c r="C15" s="97" t="s">
        <v>3</v>
      </c>
      <c r="D15" s="120">
        <v>12800</v>
      </c>
      <c r="E15" s="120">
        <f t="shared" si="0"/>
        <v>2432</v>
      </c>
      <c r="F15" s="127">
        <f t="shared" si="1"/>
        <v>15232</v>
      </c>
    </row>
    <row r="16" spans="1:8" ht="69.95" customHeight="1" x14ac:dyDescent="0.25">
      <c r="A16" s="126">
        <v>11</v>
      </c>
      <c r="B16" s="96" t="s">
        <v>124</v>
      </c>
      <c r="C16" s="97" t="s">
        <v>9</v>
      </c>
      <c r="D16" s="120">
        <v>8819</v>
      </c>
      <c r="E16" s="120">
        <f t="shared" si="0"/>
        <v>1675.61</v>
      </c>
      <c r="F16" s="127">
        <f t="shared" si="1"/>
        <v>10494.61</v>
      </c>
    </row>
    <row r="17" spans="1:6" ht="69.95" customHeight="1" x14ac:dyDescent="0.25">
      <c r="A17" s="126">
        <v>12</v>
      </c>
      <c r="B17" s="96" t="s">
        <v>125</v>
      </c>
      <c r="C17" s="97" t="s">
        <v>9</v>
      </c>
      <c r="D17" s="120">
        <v>5275</v>
      </c>
      <c r="E17" s="120">
        <f t="shared" si="0"/>
        <v>1002.25</v>
      </c>
      <c r="F17" s="127">
        <f t="shared" si="1"/>
        <v>6277.25</v>
      </c>
    </row>
    <row r="18" spans="1:6" ht="69.95" customHeight="1" x14ac:dyDescent="0.25">
      <c r="A18" s="126">
        <v>13</v>
      </c>
      <c r="B18" s="96" t="s">
        <v>202</v>
      </c>
      <c r="C18" s="97" t="s">
        <v>3</v>
      </c>
      <c r="D18" s="120">
        <v>278922</v>
      </c>
      <c r="E18" s="120">
        <f t="shared" si="0"/>
        <v>52995.18</v>
      </c>
      <c r="F18" s="127">
        <f t="shared" si="1"/>
        <v>331917.18</v>
      </c>
    </row>
    <row r="19" spans="1:6" ht="69.95" customHeight="1" x14ac:dyDescent="0.25">
      <c r="A19" s="126">
        <v>14</v>
      </c>
      <c r="B19" s="96" t="s">
        <v>126</v>
      </c>
      <c r="C19" s="97" t="s">
        <v>236</v>
      </c>
      <c r="D19" s="120">
        <v>20037</v>
      </c>
      <c r="E19" s="120">
        <f t="shared" si="0"/>
        <v>3807.03</v>
      </c>
      <c r="F19" s="127">
        <f t="shared" si="1"/>
        <v>23844.03</v>
      </c>
    </row>
    <row r="20" spans="1:6" ht="69.95" customHeight="1" x14ac:dyDescent="0.25">
      <c r="A20" s="126">
        <v>15</v>
      </c>
      <c r="B20" s="96" t="s">
        <v>127</v>
      </c>
      <c r="C20" s="97" t="s">
        <v>3</v>
      </c>
      <c r="D20" s="120">
        <v>163397</v>
      </c>
      <c r="E20" s="120">
        <f t="shared" si="0"/>
        <v>31045.43</v>
      </c>
      <c r="F20" s="127">
        <f t="shared" si="1"/>
        <v>194442.43</v>
      </c>
    </row>
    <row r="21" spans="1:6" ht="69.95" customHeight="1" x14ac:dyDescent="0.25">
      <c r="A21" s="126">
        <v>16</v>
      </c>
      <c r="B21" s="96" t="s">
        <v>128</v>
      </c>
      <c r="C21" s="97" t="s">
        <v>3</v>
      </c>
      <c r="D21" s="120">
        <v>191152</v>
      </c>
      <c r="E21" s="120">
        <f t="shared" si="0"/>
        <v>36318.879999999997</v>
      </c>
      <c r="F21" s="127">
        <f t="shared" si="1"/>
        <v>227470.88</v>
      </c>
    </row>
    <row r="22" spans="1:6" ht="69.95" customHeight="1" x14ac:dyDescent="0.25">
      <c r="A22" s="126">
        <v>17</v>
      </c>
      <c r="B22" s="96" t="s">
        <v>129</v>
      </c>
      <c r="C22" s="97" t="s">
        <v>3</v>
      </c>
      <c r="D22" s="120">
        <v>10060</v>
      </c>
      <c r="E22" s="120">
        <f t="shared" si="0"/>
        <v>1911.4</v>
      </c>
      <c r="F22" s="127">
        <f t="shared" si="1"/>
        <v>11971.4</v>
      </c>
    </row>
    <row r="23" spans="1:6" ht="69.95" customHeight="1" x14ac:dyDescent="0.25">
      <c r="A23" s="126">
        <v>18</v>
      </c>
      <c r="B23" s="96" t="s">
        <v>130</v>
      </c>
      <c r="C23" s="97" t="s">
        <v>3</v>
      </c>
      <c r="D23" s="120">
        <v>12706</v>
      </c>
      <c r="E23" s="120">
        <f t="shared" si="0"/>
        <v>2414.14</v>
      </c>
      <c r="F23" s="127">
        <f t="shared" si="1"/>
        <v>15120.14</v>
      </c>
    </row>
    <row r="24" spans="1:6" ht="69.95" customHeight="1" x14ac:dyDescent="0.25">
      <c r="A24" s="129">
        <v>19</v>
      </c>
      <c r="B24" s="98" t="s">
        <v>131</v>
      </c>
      <c r="C24" s="97" t="s">
        <v>30</v>
      </c>
      <c r="D24" s="120">
        <v>38172</v>
      </c>
      <c r="E24" s="120">
        <f t="shared" si="0"/>
        <v>7252.68</v>
      </c>
      <c r="F24" s="127">
        <f t="shared" si="1"/>
        <v>45424.68</v>
      </c>
    </row>
    <row r="25" spans="1:6" ht="69.95" customHeight="1" x14ac:dyDescent="0.25">
      <c r="A25" s="126">
        <v>20</v>
      </c>
      <c r="B25" s="96" t="s">
        <v>100</v>
      </c>
      <c r="C25" s="97" t="s">
        <v>39</v>
      </c>
      <c r="D25" s="120">
        <v>324</v>
      </c>
      <c r="E25" s="120">
        <f t="shared" si="0"/>
        <v>61.56</v>
      </c>
      <c r="F25" s="127">
        <f t="shared" si="1"/>
        <v>385.56</v>
      </c>
    </row>
    <row r="26" spans="1:6" ht="69.95" customHeight="1" x14ac:dyDescent="0.25">
      <c r="A26" s="126">
        <v>21</v>
      </c>
      <c r="B26" s="96" t="s">
        <v>132</v>
      </c>
      <c r="C26" s="97" t="s">
        <v>3</v>
      </c>
      <c r="D26" s="120">
        <v>94806</v>
      </c>
      <c r="E26" s="120">
        <f t="shared" si="0"/>
        <v>18013.14</v>
      </c>
      <c r="F26" s="127">
        <f t="shared" si="1"/>
        <v>112819.14</v>
      </c>
    </row>
    <row r="27" spans="1:6" ht="69.95" customHeight="1" x14ac:dyDescent="0.25">
      <c r="A27" s="126">
        <v>22</v>
      </c>
      <c r="B27" s="96" t="s">
        <v>133</v>
      </c>
      <c r="C27" s="97" t="s">
        <v>3</v>
      </c>
      <c r="D27" s="120">
        <v>146453</v>
      </c>
      <c r="E27" s="120">
        <f t="shared" si="0"/>
        <v>27826.07</v>
      </c>
      <c r="F27" s="127">
        <f t="shared" si="1"/>
        <v>174279.07</v>
      </c>
    </row>
    <row r="28" spans="1:6" ht="69.95" customHeight="1" x14ac:dyDescent="0.25">
      <c r="A28" s="126">
        <v>23</v>
      </c>
      <c r="B28" s="96" t="s">
        <v>134</v>
      </c>
      <c r="C28" s="97" t="s">
        <v>3</v>
      </c>
      <c r="D28" s="120">
        <v>17561</v>
      </c>
      <c r="E28" s="120">
        <f t="shared" si="0"/>
        <v>3336.59</v>
      </c>
      <c r="F28" s="127">
        <f t="shared" si="1"/>
        <v>20897.59</v>
      </c>
    </row>
    <row r="29" spans="1:6" ht="69.95" customHeight="1" x14ac:dyDescent="0.25">
      <c r="A29" s="126">
        <v>24</v>
      </c>
      <c r="B29" s="96" t="s">
        <v>135</v>
      </c>
      <c r="C29" s="97" t="s">
        <v>3</v>
      </c>
      <c r="D29" s="120">
        <v>40542</v>
      </c>
      <c r="E29" s="120">
        <f t="shared" si="0"/>
        <v>7702.98</v>
      </c>
      <c r="F29" s="127">
        <f t="shared" si="1"/>
        <v>48244.979999999996</v>
      </c>
    </row>
    <row r="30" spans="1:6" ht="69.95" customHeight="1" x14ac:dyDescent="0.25">
      <c r="A30" s="126">
        <v>25</v>
      </c>
      <c r="B30" s="96" t="s">
        <v>31</v>
      </c>
      <c r="C30" s="97" t="s">
        <v>3</v>
      </c>
      <c r="D30" s="120">
        <v>9715</v>
      </c>
      <c r="E30" s="120">
        <f t="shared" si="0"/>
        <v>1845.85</v>
      </c>
      <c r="F30" s="127">
        <f t="shared" si="1"/>
        <v>11560.85</v>
      </c>
    </row>
    <row r="31" spans="1:6" ht="69.95" customHeight="1" x14ac:dyDescent="0.25">
      <c r="A31" s="126">
        <v>26</v>
      </c>
      <c r="B31" s="96" t="s">
        <v>136</v>
      </c>
      <c r="C31" s="97" t="s">
        <v>3</v>
      </c>
      <c r="D31" s="120">
        <v>4835</v>
      </c>
      <c r="E31" s="120">
        <f t="shared" si="0"/>
        <v>918.65</v>
      </c>
      <c r="F31" s="127">
        <f t="shared" si="1"/>
        <v>5753.65</v>
      </c>
    </row>
    <row r="32" spans="1:6" ht="69.95" customHeight="1" x14ac:dyDescent="0.25">
      <c r="A32" s="126">
        <v>27</v>
      </c>
      <c r="B32" s="96" t="s">
        <v>137</v>
      </c>
      <c r="C32" s="97" t="s">
        <v>3</v>
      </c>
      <c r="D32" s="120">
        <v>16954</v>
      </c>
      <c r="E32" s="120">
        <f t="shared" si="0"/>
        <v>3221.26</v>
      </c>
      <c r="F32" s="127">
        <f t="shared" si="1"/>
        <v>20175.260000000002</v>
      </c>
    </row>
    <row r="33" spans="1:6" ht="69.95" customHeight="1" x14ac:dyDescent="0.25">
      <c r="A33" s="126">
        <v>28</v>
      </c>
      <c r="B33" s="96" t="s">
        <v>138</v>
      </c>
      <c r="C33" s="97" t="s">
        <v>3</v>
      </c>
      <c r="D33" s="120">
        <v>1310</v>
      </c>
      <c r="E33" s="120">
        <f t="shared" si="0"/>
        <v>248.9</v>
      </c>
      <c r="F33" s="127">
        <f t="shared" si="1"/>
        <v>1558.9</v>
      </c>
    </row>
    <row r="34" spans="1:6" ht="69.95" customHeight="1" x14ac:dyDescent="0.25">
      <c r="A34" s="126">
        <v>29</v>
      </c>
      <c r="B34" s="96" t="s">
        <v>140</v>
      </c>
      <c r="C34" s="97" t="s">
        <v>3</v>
      </c>
      <c r="D34" s="120">
        <v>3299</v>
      </c>
      <c r="E34" s="120">
        <f t="shared" si="0"/>
        <v>626.80999999999995</v>
      </c>
      <c r="F34" s="127">
        <f t="shared" si="1"/>
        <v>3925.81</v>
      </c>
    </row>
    <row r="35" spans="1:6" ht="69.95" customHeight="1" x14ac:dyDescent="0.25">
      <c r="A35" s="126">
        <v>30</v>
      </c>
      <c r="B35" s="96" t="s">
        <v>142</v>
      </c>
      <c r="C35" s="97" t="s">
        <v>3</v>
      </c>
      <c r="D35" s="120">
        <v>68555</v>
      </c>
      <c r="E35" s="120">
        <f t="shared" si="0"/>
        <v>13025.45</v>
      </c>
      <c r="F35" s="127">
        <f t="shared" si="1"/>
        <v>81580.45</v>
      </c>
    </row>
    <row r="36" spans="1:6" ht="69.95" customHeight="1" x14ac:dyDescent="0.25">
      <c r="A36" s="126">
        <v>31</v>
      </c>
      <c r="B36" s="96" t="s">
        <v>143</v>
      </c>
      <c r="C36" s="97" t="s">
        <v>3</v>
      </c>
      <c r="D36" s="120">
        <v>67707</v>
      </c>
      <c r="E36" s="120">
        <f t="shared" si="0"/>
        <v>12864.33</v>
      </c>
      <c r="F36" s="127">
        <f t="shared" si="1"/>
        <v>80571.33</v>
      </c>
    </row>
    <row r="37" spans="1:6" ht="69.95" customHeight="1" x14ac:dyDescent="0.25">
      <c r="A37" s="126">
        <v>32</v>
      </c>
      <c r="B37" s="96" t="s">
        <v>144</v>
      </c>
      <c r="C37" s="97" t="s">
        <v>3</v>
      </c>
      <c r="D37" s="120">
        <v>13390</v>
      </c>
      <c r="E37" s="120">
        <f t="shared" si="0"/>
        <v>2544.1</v>
      </c>
      <c r="F37" s="127">
        <f t="shared" si="1"/>
        <v>15934.1</v>
      </c>
    </row>
    <row r="38" spans="1:6" ht="69.95" customHeight="1" x14ac:dyDescent="0.25">
      <c r="A38" s="126">
        <v>33</v>
      </c>
      <c r="B38" s="96" t="s">
        <v>145</v>
      </c>
      <c r="C38" s="97" t="s">
        <v>3</v>
      </c>
      <c r="D38" s="120">
        <v>23884</v>
      </c>
      <c r="E38" s="120">
        <f t="shared" si="0"/>
        <v>4537.96</v>
      </c>
      <c r="F38" s="127">
        <f t="shared" si="1"/>
        <v>28421.96</v>
      </c>
    </row>
    <row r="39" spans="1:6" ht="69.95" customHeight="1" x14ac:dyDescent="0.25">
      <c r="A39" s="126">
        <v>34</v>
      </c>
      <c r="B39" s="96" t="s">
        <v>146</v>
      </c>
      <c r="C39" s="97" t="s">
        <v>3</v>
      </c>
      <c r="D39" s="120">
        <v>210916</v>
      </c>
      <c r="E39" s="120">
        <f t="shared" si="0"/>
        <v>40074.04</v>
      </c>
      <c r="F39" s="127">
        <f t="shared" si="1"/>
        <v>250990.04</v>
      </c>
    </row>
    <row r="40" spans="1:6" ht="69.95" customHeight="1" x14ac:dyDescent="0.25">
      <c r="A40" s="126">
        <v>35</v>
      </c>
      <c r="B40" s="96" t="s">
        <v>147</v>
      </c>
      <c r="C40" s="97" t="s">
        <v>19</v>
      </c>
      <c r="D40" s="120">
        <v>17540</v>
      </c>
      <c r="E40" s="120">
        <f t="shared" si="0"/>
        <v>3332.6</v>
      </c>
      <c r="F40" s="127">
        <f t="shared" si="1"/>
        <v>20872.599999999999</v>
      </c>
    </row>
    <row r="41" spans="1:6" ht="69.95" customHeight="1" x14ac:dyDescent="0.25">
      <c r="A41" s="126">
        <v>36</v>
      </c>
      <c r="B41" s="96" t="s">
        <v>148</v>
      </c>
      <c r="C41" s="97" t="s">
        <v>3</v>
      </c>
      <c r="D41" s="120">
        <v>31117</v>
      </c>
      <c r="E41" s="120">
        <f t="shared" si="0"/>
        <v>5912.23</v>
      </c>
      <c r="F41" s="127">
        <f t="shared" si="1"/>
        <v>37029.229999999996</v>
      </c>
    </row>
    <row r="42" spans="1:6" ht="69.95" customHeight="1" x14ac:dyDescent="0.25">
      <c r="A42" s="126">
        <v>37</v>
      </c>
      <c r="B42" s="96" t="s">
        <v>149</v>
      </c>
      <c r="C42" s="97" t="s">
        <v>3</v>
      </c>
      <c r="D42" s="120">
        <v>469939</v>
      </c>
      <c r="E42" s="120">
        <f t="shared" si="0"/>
        <v>89288.41</v>
      </c>
      <c r="F42" s="127">
        <f t="shared" si="1"/>
        <v>559227.41</v>
      </c>
    </row>
    <row r="43" spans="1:6" ht="69.95" customHeight="1" x14ac:dyDescent="0.25">
      <c r="A43" s="126">
        <v>38</v>
      </c>
      <c r="B43" s="96" t="s">
        <v>150</v>
      </c>
      <c r="C43" s="97" t="s">
        <v>3</v>
      </c>
      <c r="D43" s="120">
        <v>70234</v>
      </c>
      <c r="E43" s="120">
        <f t="shared" si="0"/>
        <v>13344.46</v>
      </c>
      <c r="F43" s="127">
        <f t="shared" si="1"/>
        <v>83578.459999999992</v>
      </c>
    </row>
    <row r="44" spans="1:6" ht="69.95" customHeight="1" x14ac:dyDescent="0.25">
      <c r="A44" s="126">
        <v>39</v>
      </c>
      <c r="B44" s="96" t="s">
        <v>152</v>
      </c>
      <c r="C44" s="97" t="s">
        <v>3</v>
      </c>
      <c r="D44" s="120">
        <v>139235</v>
      </c>
      <c r="E44" s="120">
        <f t="shared" si="0"/>
        <v>26454.65</v>
      </c>
      <c r="F44" s="127">
        <f t="shared" si="1"/>
        <v>165689.65</v>
      </c>
    </row>
    <row r="45" spans="1:6" ht="69.95" customHeight="1" x14ac:dyDescent="0.25">
      <c r="A45" s="126">
        <v>40</v>
      </c>
      <c r="B45" s="96" t="s">
        <v>153</v>
      </c>
      <c r="C45" s="97" t="s">
        <v>3</v>
      </c>
      <c r="D45" s="120">
        <v>55446</v>
      </c>
      <c r="E45" s="120">
        <f t="shared" si="0"/>
        <v>10534.74</v>
      </c>
      <c r="F45" s="127">
        <f t="shared" si="1"/>
        <v>65980.740000000005</v>
      </c>
    </row>
    <row r="46" spans="1:6" ht="69.95" customHeight="1" x14ac:dyDescent="0.25">
      <c r="A46" s="126">
        <v>41</v>
      </c>
      <c r="B46" s="96" t="s">
        <v>154</v>
      </c>
      <c r="C46" s="97" t="s">
        <v>237</v>
      </c>
      <c r="D46" s="120">
        <v>12613</v>
      </c>
      <c r="E46" s="120">
        <f t="shared" si="0"/>
        <v>2396.4699999999998</v>
      </c>
      <c r="F46" s="127">
        <f t="shared" si="1"/>
        <v>15009.47</v>
      </c>
    </row>
    <row r="47" spans="1:6" ht="69.95" customHeight="1" x14ac:dyDescent="0.25">
      <c r="A47" s="126">
        <v>42</v>
      </c>
      <c r="B47" s="96" t="s">
        <v>155</v>
      </c>
      <c r="C47" s="97" t="s">
        <v>3</v>
      </c>
      <c r="D47" s="120">
        <v>15391</v>
      </c>
      <c r="E47" s="120">
        <f t="shared" si="0"/>
        <v>2924.29</v>
      </c>
      <c r="F47" s="127">
        <f t="shared" si="1"/>
        <v>18315.29</v>
      </c>
    </row>
    <row r="48" spans="1:6" ht="69.95" customHeight="1" x14ac:dyDescent="0.25">
      <c r="A48" s="126">
        <v>43</v>
      </c>
      <c r="B48" s="96" t="s">
        <v>156</v>
      </c>
      <c r="C48" s="97" t="s">
        <v>10</v>
      </c>
      <c r="D48" s="120">
        <v>13442</v>
      </c>
      <c r="E48" s="120">
        <f t="shared" si="0"/>
        <v>2553.98</v>
      </c>
      <c r="F48" s="127">
        <f t="shared" si="1"/>
        <v>15995.98</v>
      </c>
    </row>
    <row r="49" spans="1:6" ht="69.95" customHeight="1" x14ac:dyDescent="0.25">
      <c r="A49" s="126">
        <v>44</v>
      </c>
      <c r="B49" s="96" t="s">
        <v>157</v>
      </c>
      <c r="C49" s="97" t="s">
        <v>22</v>
      </c>
      <c r="D49" s="120">
        <v>119846</v>
      </c>
      <c r="E49" s="120">
        <f t="shared" si="0"/>
        <v>22770.74</v>
      </c>
      <c r="F49" s="127">
        <f t="shared" si="1"/>
        <v>142616.74</v>
      </c>
    </row>
    <row r="50" spans="1:6" ht="69.95" customHeight="1" x14ac:dyDescent="0.25">
      <c r="A50" s="126">
        <v>45</v>
      </c>
      <c r="B50" s="96" t="s">
        <v>217</v>
      </c>
      <c r="C50" s="97" t="s">
        <v>3</v>
      </c>
      <c r="D50" s="120">
        <v>111446</v>
      </c>
      <c r="E50" s="120">
        <f t="shared" si="0"/>
        <v>21174.74</v>
      </c>
      <c r="F50" s="127">
        <f t="shared" si="1"/>
        <v>132620.74</v>
      </c>
    </row>
    <row r="51" spans="1:6" ht="69.95" customHeight="1" x14ac:dyDescent="0.25">
      <c r="A51" s="128">
        <v>46</v>
      </c>
      <c r="B51" s="96" t="s">
        <v>160</v>
      </c>
      <c r="C51" s="97" t="s">
        <v>3</v>
      </c>
      <c r="D51" s="120">
        <v>49840</v>
      </c>
      <c r="E51" s="120">
        <f t="shared" si="0"/>
        <v>9469.6</v>
      </c>
      <c r="F51" s="127">
        <f t="shared" si="1"/>
        <v>59309.599999999999</v>
      </c>
    </row>
    <row r="52" spans="1:6" ht="69.95" customHeight="1" x14ac:dyDescent="0.25">
      <c r="A52" s="126">
        <v>47</v>
      </c>
      <c r="B52" s="96" t="s">
        <v>161</v>
      </c>
      <c r="C52" s="97" t="s">
        <v>3</v>
      </c>
      <c r="D52" s="120">
        <v>877270</v>
      </c>
      <c r="E52" s="120">
        <f t="shared" si="0"/>
        <v>166681.29999999999</v>
      </c>
      <c r="F52" s="127">
        <f t="shared" si="1"/>
        <v>1043951.3</v>
      </c>
    </row>
    <row r="53" spans="1:6" ht="69.95" customHeight="1" x14ac:dyDescent="0.25">
      <c r="A53" s="126">
        <v>48</v>
      </c>
      <c r="B53" s="96" t="s">
        <v>201</v>
      </c>
      <c r="C53" s="97" t="s">
        <v>69</v>
      </c>
      <c r="D53" s="120">
        <v>61482</v>
      </c>
      <c r="E53" s="120">
        <f t="shared" si="0"/>
        <v>11681.58</v>
      </c>
      <c r="F53" s="127">
        <f t="shared" si="1"/>
        <v>73163.58</v>
      </c>
    </row>
    <row r="54" spans="1:6" ht="69.95" customHeight="1" x14ac:dyDescent="0.25">
      <c r="A54" s="126">
        <v>49</v>
      </c>
      <c r="B54" s="96" t="s">
        <v>163</v>
      </c>
      <c r="C54" s="97" t="s">
        <v>3</v>
      </c>
      <c r="D54" s="120">
        <v>17798</v>
      </c>
      <c r="E54" s="120">
        <f t="shared" si="0"/>
        <v>3381.62</v>
      </c>
      <c r="F54" s="127">
        <f t="shared" si="1"/>
        <v>21179.62</v>
      </c>
    </row>
    <row r="55" spans="1:6" ht="69.95" customHeight="1" x14ac:dyDescent="0.25">
      <c r="A55" s="126">
        <v>50</v>
      </c>
      <c r="B55" s="96" t="s">
        <v>164</v>
      </c>
      <c r="C55" s="97" t="s">
        <v>3</v>
      </c>
      <c r="D55" s="120">
        <v>76977</v>
      </c>
      <c r="E55" s="120">
        <f t="shared" si="0"/>
        <v>14625.63</v>
      </c>
      <c r="F55" s="127">
        <f t="shared" si="1"/>
        <v>91602.63</v>
      </c>
    </row>
    <row r="56" spans="1:6" ht="69.95" customHeight="1" x14ac:dyDescent="0.25">
      <c r="A56" s="126">
        <v>51</v>
      </c>
      <c r="B56" s="96" t="s">
        <v>165</v>
      </c>
      <c r="C56" s="97" t="s">
        <v>3</v>
      </c>
      <c r="D56" s="120">
        <v>140962</v>
      </c>
      <c r="E56" s="120">
        <f t="shared" si="0"/>
        <v>26782.78</v>
      </c>
      <c r="F56" s="127">
        <f t="shared" si="1"/>
        <v>167744.78</v>
      </c>
    </row>
    <row r="57" spans="1:6" ht="69.95" customHeight="1" x14ac:dyDescent="0.25">
      <c r="A57" s="128">
        <v>52</v>
      </c>
      <c r="B57" s="96" t="s">
        <v>166</v>
      </c>
      <c r="C57" s="97" t="s">
        <v>3</v>
      </c>
      <c r="D57" s="120">
        <v>105583</v>
      </c>
      <c r="E57" s="120">
        <f t="shared" si="0"/>
        <v>20060.77</v>
      </c>
      <c r="F57" s="127">
        <f t="shared" si="1"/>
        <v>125643.77</v>
      </c>
    </row>
    <row r="58" spans="1:6" ht="69.95" customHeight="1" x14ac:dyDescent="0.25">
      <c r="A58" s="128">
        <v>53</v>
      </c>
      <c r="B58" s="96" t="s">
        <v>167</v>
      </c>
      <c r="C58" s="97" t="s">
        <v>17</v>
      </c>
      <c r="D58" s="120">
        <v>238049</v>
      </c>
      <c r="E58" s="120">
        <f t="shared" si="0"/>
        <v>45229.31</v>
      </c>
      <c r="F58" s="127">
        <f t="shared" si="1"/>
        <v>283278.31</v>
      </c>
    </row>
    <row r="59" spans="1:6" ht="69.95" customHeight="1" x14ac:dyDescent="0.25">
      <c r="A59" s="128">
        <v>54</v>
      </c>
      <c r="B59" s="96" t="s">
        <v>168</v>
      </c>
      <c r="C59" s="97" t="s">
        <v>39</v>
      </c>
      <c r="D59" s="120">
        <v>185400</v>
      </c>
      <c r="E59" s="120">
        <f t="shared" si="0"/>
        <v>35226</v>
      </c>
      <c r="F59" s="127">
        <f t="shared" si="1"/>
        <v>220626</v>
      </c>
    </row>
    <row r="60" spans="1:6" ht="69.95" customHeight="1" x14ac:dyDescent="0.25">
      <c r="A60" s="128">
        <v>55</v>
      </c>
      <c r="B60" s="96" t="s">
        <v>169</v>
      </c>
      <c r="C60" s="97" t="s">
        <v>236</v>
      </c>
      <c r="D60" s="120">
        <v>188890</v>
      </c>
      <c r="E60" s="120">
        <f t="shared" si="0"/>
        <v>35889.1</v>
      </c>
      <c r="F60" s="127">
        <f t="shared" si="1"/>
        <v>224779.1</v>
      </c>
    </row>
    <row r="61" spans="1:6" ht="69.95" customHeight="1" x14ac:dyDescent="0.25">
      <c r="A61" s="128">
        <v>56</v>
      </c>
      <c r="B61" s="96" t="s">
        <v>170</v>
      </c>
      <c r="C61" s="97" t="s">
        <v>39</v>
      </c>
      <c r="D61" s="120">
        <v>295462</v>
      </c>
      <c r="E61" s="120">
        <f t="shared" si="0"/>
        <v>56137.78</v>
      </c>
      <c r="F61" s="127">
        <f t="shared" si="1"/>
        <v>351599.78</v>
      </c>
    </row>
    <row r="62" spans="1:6" ht="69.95" customHeight="1" x14ac:dyDescent="0.25">
      <c r="A62" s="128">
        <v>57</v>
      </c>
      <c r="B62" s="96" t="s">
        <v>171</v>
      </c>
      <c r="C62" s="97" t="s">
        <v>39</v>
      </c>
      <c r="D62" s="120">
        <v>107699</v>
      </c>
      <c r="E62" s="120">
        <f t="shared" si="0"/>
        <v>20462.810000000001</v>
      </c>
      <c r="F62" s="127">
        <f t="shared" si="1"/>
        <v>128161.81</v>
      </c>
    </row>
    <row r="63" spans="1:6" ht="69.95" customHeight="1" x14ac:dyDescent="0.25">
      <c r="A63" s="128">
        <v>58</v>
      </c>
      <c r="B63" s="96" t="s">
        <v>172</v>
      </c>
      <c r="C63" s="97" t="s">
        <v>18</v>
      </c>
      <c r="D63" s="120">
        <v>72905</v>
      </c>
      <c r="E63" s="120">
        <f t="shared" si="0"/>
        <v>13851.95</v>
      </c>
      <c r="F63" s="127">
        <f t="shared" si="1"/>
        <v>86756.95</v>
      </c>
    </row>
    <row r="64" spans="1:6" ht="69.95" customHeight="1" x14ac:dyDescent="0.25">
      <c r="A64" s="128">
        <v>59</v>
      </c>
      <c r="B64" s="96" t="s">
        <v>173</v>
      </c>
      <c r="C64" s="97" t="s">
        <v>39</v>
      </c>
      <c r="D64" s="120">
        <v>282894</v>
      </c>
      <c r="E64" s="120">
        <f t="shared" si="0"/>
        <v>53749.86</v>
      </c>
      <c r="F64" s="127">
        <f t="shared" si="1"/>
        <v>336643.86</v>
      </c>
    </row>
    <row r="65" spans="1:6" ht="69.95" customHeight="1" x14ac:dyDescent="0.25">
      <c r="A65" s="126">
        <v>60</v>
      </c>
      <c r="B65" s="96" t="s">
        <v>174</v>
      </c>
      <c r="C65" s="97" t="s">
        <v>17</v>
      </c>
      <c r="D65" s="120">
        <v>239436</v>
      </c>
      <c r="E65" s="120">
        <f t="shared" si="0"/>
        <v>45492.84</v>
      </c>
      <c r="F65" s="127">
        <f t="shared" si="1"/>
        <v>284928.83999999997</v>
      </c>
    </row>
    <row r="66" spans="1:6" ht="69.95" customHeight="1" x14ac:dyDescent="0.25">
      <c r="A66" s="126">
        <v>61</v>
      </c>
      <c r="B66" s="96" t="s">
        <v>210</v>
      </c>
      <c r="C66" s="97" t="s">
        <v>3</v>
      </c>
      <c r="D66" s="120">
        <v>173499</v>
      </c>
      <c r="E66" s="120">
        <f t="shared" si="0"/>
        <v>32964.81</v>
      </c>
      <c r="F66" s="127">
        <f t="shared" si="1"/>
        <v>206463.81</v>
      </c>
    </row>
    <row r="67" spans="1:6" ht="69.95" customHeight="1" x14ac:dyDescent="0.25">
      <c r="A67" s="126">
        <v>62</v>
      </c>
      <c r="B67" s="96" t="s">
        <v>175</v>
      </c>
      <c r="C67" s="97" t="s">
        <v>3</v>
      </c>
      <c r="D67" s="120">
        <v>94430</v>
      </c>
      <c r="E67" s="120">
        <f t="shared" si="0"/>
        <v>17941.7</v>
      </c>
      <c r="F67" s="127">
        <f t="shared" si="1"/>
        <v>112371.7</v>
      </c>
    </row>
    <row r="68" spans="1:6" ht="69.95" customHeight="1" x14ac:dyDescent="0.25">
      <c r="A68" s="126">
        <v>63</v>
      </c>
      <c r="B68" s="96" t="s">
        <v>228</v>
      </c>
      <c r="C68" s="97" t="s">
        <v>39</v>
      </c>
      <c r="D68" s="120">
        <v>171539</v>
      </c>
      <c r="E68" s="120">
        <f t="shared" si="0"/>
        <v>32592.41</v>
      </c>
      <c r="F68" s="127">
        <f t="shared" si="1"/>
        <v>204131.41</v>
      </c>
    </row>
    <row r="69" spans="1:6" ht="69.95" customHeight="1" x14ac:dyDescent="0.25">
      <c r="A69" s="126">
        <v>64</v>
      </c>
      <c r="B69" s="96" t="s">
        <v>176</v>
      </c>
      <c r="C69" s="97" t="s">
        <v>3</v>
      </c>
      <c r="D69" s="120">
        <v>21576</v>
      </c>
      <c r="E69" s="120">
        <f t="shared" si="0"/>
        <v>4099.4399999999996</v>
      </c>
      <c r="F69" s="127">
        <f t="shared" si="1"/>
        <v>25675.439999999999</v>
      </c>
    </row>
    <row r="70" spans="1:6" ht="69.95" customHeight="1" x14ac:dyDescent="0.25">
      <c r="A70" s="126">
        <v>65</v>
      </c>
      <c r="B70" s="96" t="s">
        <v>177</v>
      </c>
      <c r="C70" s="97" t="s">
        <v>3</v>
      </c>
      <c r="D70" s="120">
        <v>9648</v>
      </c>
      <c r="E70" s="120">
        <f t="shared" si="0"/>
        <v>1833.12</v>
      </c>
      <c r="F70" s="127">
        <f t="shared" si="1"/>
        <v>11481.119999999999</v>
      </c>
    </row>
    <row r="71" spans="1:6" ht="69.95" customHeight="1" x14ac:dyDescent="0.25">
      <c r="A71" s="126">
        <v>66</v>
      </c>
      <c r="B71" s="96" t="s">
        <v>230</v>
      </c>
      <c r="C71" s="97" t="s">
        <v>3</v>
      </c>
      <c r="D71" s="120">
        <v>27247</v>
      </c>
      <c r="E71" s="120">
        <f t="shared" ref="E71:E89" si="2">+D71*19/100</f>
        <v>5176.93</v>
      </c>
      <c r="F71" s="127">
        <f t="shared" ref="F71:F89" si="3">+E71+D71</f>
        <v>32423.93</v>
      </c>
    </row>
    <row r="72" spans="1:6" ht="69.95" customHeight="1" x14ac:dyDescent="0.25">
      <c r="A72" s="126">
        <v>67</v>
      </c>
      <c r="B72" s="96" t="s">
        <v>179</v>
      </c>
      <c r="C72" s="97" t="s">
        <v>238</v>
      </c>
      <c r="D72" s="120">
        <v>3820</v>
      </c>
      <c r="E72" s="120">
        <f t="shared" si="2"/>
        <v>725.8</v>
      </c>
      <c r="F72" s="127">
        <f t="shared" si="3"/>
        <v>4545.8</v>
      </c>
    </row>
    <row r="73" spans="1:6" ht="69.95" customHeight="1" x14ac:dyDescent="0.25">
      <c r="A73" s="126">
        <v>68</v>
      </c>
      <c r="B73" s="96" t="s">
        <v>186</v>
      </c>
      <c r="C73" s="97" t="s">
        <v>3</v>
      </c>
      <c r="D73" s="120">
        <v>334914</v>
      </c>
      <c r="E73" s="120">
        <f t="shared" si="2"/>
        <v>63633.66</v>
      </c>
      <c r="F73" s="127">
        <f t="shared" si="3"/>
        <v>398547.66000000003</v>
      </c>
    </row>
    <row r="74" spans="1:6" ht="69.95" customHeight="1" x14ac:dyDescent="0.25">
      <c r="A74" s="126">
        <v>69</v>
      </c>
      <c r="B74" s="96" t="s">
        <v>187</v>
      </c>
      <c r="C74" s="97" t="s">
        <v>3</v>
      </c>
      <c r="D74" s="120">
        <v>3266</v>
      </c>
      <c r="E74" s="120">
        <f t="shared" si="2"/>
        <v>620.54</v>
      </c>
      <c r="F74" s="127">
        <f t="shared" si="3"/>
        <v>3886.54</v>
      </c>
    </row>
    <row r="75" spans="1:6" ht="69.95" customHeight="1" x14ac:dyDescent="0.25">
      <c r="A75" s="126">
        <v>70</v>
      </c>
      <c r="B75" s="96" t="s">
        <v>189</v>
      </c>
      <c r="C75" s="97" t="s">
        <v>3</v>
      </c>
      <c r="D75" s="120">
        <v>2920</v>
      </c>
      <c r="E75" s="120">
        <f t="shared" si="2"/>
        <v>554.79999999999995</v>
      </c>
      <c r="F75" s="127">
        <f t="shared" si="3"/>
        <v>3474.8</v>
      </c>
    </row>
    <row r="76" spans="1:6" ht="69.95" customHeight="1" x14ac:dyDescent="0.25">
      <c r="A76" s="126">
        <v>71</v>
      </c>
      <c r="B76" s="96" t="s">
        <v>190</v>
      </c>
      <c r="C76" s="97" t="s">
        <v>3</v>
      </c>
      <c r="D76" s="120">
        <v>670</v>
      </c>
      <c r="E76" s="120">
        <f t="shared" si="2"/>
        <v>127.3</v>
      </c>
      <c r="F76" s="127">
        <f t="shared" si="3"/>
        <v>797.3</v>
      </c>
    </row>
    <row r="77" spans="1:6" ht="69.95" customHeight="1" x14ac:dyDescent="0.25">
      <c r="A77" s="126">
        <v>72</v>
      </c>
      <c r="B77" s="96" t="s">
        <v>191</v>
      </c>
      <c r="C77" s="97" t="s">
        <v>3</v>
      </c>
      <c r="D77" s="120">
        <v>6499</v>
      </c>
      <c r="E77" s="120">
        <f t="shared" si="2"/>
        <v>1234.81</v>
      </c>
      <c r="F77" s="127">
        <f t="shared" si="3"/>
        <v>7733.8099999999995</v>
      </c>
    </row>
    <row r="78" spans="1:6" ht="69.95" customHeight="1" x14ac:dyDescent="0.25">
      <c r="A78" s="126">
        <v>73</v>
      </c>
      <c r="B78" s="96" t="s">
        <v>192</v>
      </c>
      <c r="C78" s="97" t="s">
        <v>3</v>
      </c>
      <c r="D78" s="120">
        <v>1476</v>
      </c>
      <c r="E78" s="120">
        <f t="shared" si="2"/>
        <v>280.44</v>
      </c>
      <c r="F78" s="127">
        <f t="shared" si="3"/>
        <v>1756.44</v>
      </c>
    </row>
    <row r="79" spans="1:6" ht="69.95" customHeight="1" x14ac:dyDescent="0.25">
      <c r="A79" s="126">
        <v>74</v>
      </c>
      <c r="B79" s="96" t="s">
        <v>193</v>
      </c>
      <c r="C79" s="97" t="s">
        <v>3</v>
      </c>
      <c r="D79" s="120">
        <v>7513</v>
      </c>
      <c r="E79" s="120">
        <f t="shared" si="2"/>
        <v>1427.47</v>
      </c>
      <c r="F79" s="127">
        <f t="shared" si="3"/>
        <v>8940.4699999999993</v>
      </c>
    </row>
    <row r="80" spans="1:6" ht="69.95" customHeight="1" x14ac:dyDescent="0.25">
      <c r="A80" s="126">
        <v>75</v>
      </c>
      <c r="B80" s="96" t="s">
        <v>194</v>
      </c>
      <c r="C80" s="97" t="s">
        <v>3</v>
      </c>
      <c r="D80" s="120">
        <v>2689</v>
      </c>
      <c r="E80" s="120">
        <f t="shared" si="2"/>
        <v>510.91</v>
      </c>
      <c r="F80" s="127">
        <f t="shared" si="3"/>
        <v>3199.91</v>
      </c>
    </row>
    <row r="81" spans="1:6" ht="69.95" customHeight="1" x14ac:dyDescent="0.25">
      <c r="A81" s="126">
        <v>76</v>
      </c>
      <c r="B81" s="96" t="s">
        <v>195</v>
      </c>
      <c r="C81" s="97" t="s">
        <v>3</v>
      </c>
      <c r="D81" s="120">
        <v>3133</v>
      </c>
      <c r="E81" s="120">
        <f t="shared" si="2"/>
        <v>595.27</v>
      </c>
      <c r="F81" s="127">
        <f t="shared" si="3"/>
        <v>3728.27</v>
      </c>
    </row>
    <row r="82" spans="1:6" ht="69.95" customHeight="1" x14ac:dyDescent="0.25">
      <c r="A82" s="126">
        <v>77</v>
      </c>
      <c r="B82" s="96" t="s">
        <v>196</v>
      </c>
      <c r="C82" s="97" t="s">
        <v>3</v>
      </c>
      <c r="D82" s="120">
        <v>43167</v>
      </c>
      <c r="E82" s="120">
        <f t="shared" si="2"/>
        <v>8201.73</v>
      </c>
      <c r="F82" s="127">
        <f t="shared" si="3"/>
        <v>51368.729999999996</v>
      </c>
    </row>
    <row r="83" spans="1:6" ht="69.95" customHeight="1" x14ac:dyDescent="0.25">
      <c r="A83" s="126">
        <v>78</v>
      </c>
      <c r="B83" s="96" t="s">
        <v>197</v>
      </c>
      <c r="C83" s="97" t="s">
        <v>3</v>
      </c>
      <c r="D83" s="120">
        <v>10828</v>
      </c>
      <c r="E83" s="120">
        <f t="shared" si="2"/>
        <v>2057.3200000000002</v>
      </c>
      <c r="F83" s="127">
        <f t="shared" si="3"/>
        <v>12885.32</v>
      </c>
    </row>
    <row r="84" spans="1:6" ht="69.95" customHeight="1" x14ac:dyDescent="0.25">
      <c r="A84" s="126">
        <v>79</v>
      </c>
      <c r="B84" s="96" t="s">
        <v>198</v>
      </c>
      <c r="C84" s="97" t="s">
        <v>3</v>
      </c>
      <c r="D84" s="120">
        <v>112943</v>
      </c>
      <c r="E84" s="120">
        <f t="shared" si="2"/>
        <v>21459.17</v>
      </c>
      <c r="F84" s="127">
        <f t="shared" si="3"/>
        <v>134402.16999999998</v>
      </c>
    </row>
    <row r="85" spans="1:6" ht="69.95" customHeight="1" x14ac:dyDescent="0.25">
      <c r="A85" s="126">
        <v>80</v>
      </c>
      <c r="B85" s="96" t="s">
        <v>199</v>
      </c>
      <c r="C85" s="97" t="s">
        <v>3</v>
      </c>
      <c r="D85" s="120">
        <v>584789</v>
      </c>
      <c r="E85" s="120">
        <f t="shared" si="2"/>
        <v>111109.91</v>
      </c>
      <c r="F85" s="127">
        <f t="shared" si="3"/>
        <v>695898.91</v>
      </c>
    </row>
    <row r="86" spans="1:6" ht="69.95" customHeight="1" x14ac:dyDescent="0.25">
      <c r="A86" s="126">
        <v>81</v>
      </c>
      <c r="B86" s="96" t="s">
        <v>200</v>
      </c>
      <c r="C86" s="97" t="s">
        <v>3</v>
      </c>
      <c r="D86" s="120">
        <v>156867</v>
      </c>
      <c r="E86" s="120">
        <f t="shared" si="2"/>
        <v>29804.73</v>
      </c>
      <c r="F86" s="127">
        <f t="shared" si="3"/>
        <v>186671.73</v>
      </c>
    </row>
    <row r="87" spans="1:6" ht="69.95" customHeight="1" x14ac:dyDescent="0.25">
      <c r="A87" s="126">
        <v>82</v>
      </c>
      <c r="B87" s="96" t="s">
        <v>52</v>
      </c>
      <c r="C87" s="97" t="s">
        <v>3</v>
      </c>
      <c r="D87" s="120">
        <v>32679</v>
      </c>
      <c r="E87" s="120">
        <f t="shared" si="2"/>
        <v>6209.01</v>
      </c>
      <c r="F87" s="127">
        <f t="shared" si="3"/>
        <v>38888.01</v>
      </c>
    </row>
    <row r="88" spans="1:6" ht="69.95" customHeight="1" x14ac:dyDescent="0.25">
      <c r="A88" s="126">
        <v>83</v>
      </c>
      <c r="B88" s="96" t="s">
        <v>233</v>
      </c>
      <c r="C88" s="97" t="s">
        <v>53</v>
      </c>
      <c r="D88" s="120">
        <v>9563</v>
      </c>
      <c r="E88" s="120">
        <f t="shared" si="2"/>
        <v>1816.97</v>
      </c>
      <c r="F88" s="127">
        <f t="shared" si="3"/>
        <v>11379.97</v>
      </c>
    </row>
    <row r="89" spans="1:6" ht="69.95" customHeight="1" thickBot="1" x14ac:dyDescent="0.3">
      <c r="A89" s="130">
        <v>84</v>
      </c>
      <c r="B89" s="131" t="s">
        <v>234</v>
      </c>
      <c r="C89" s="132" t="s">
        <v>3</v>
      </c>
      <c r="D89" s="133">
        <v>182053</v>
      </c>
      <c r="E89" s="133">
        <f t="shared" si="2"/>
        <v>34590.07</v>
      </c>
      <c r="F89" s="134">
        <f t="shared" si="3"/>
        <v>216643.07</v>
      </c>
    </row>
    <row r="90" spans="1:6" ht="15.75" thickBot="1" x14ac:dyDescent="0.3">
      <c r="D90" s="213">
        <f>SUM(D6:D89)</f>
        <v>7878293</v>
      </c>
      <c r="F90" s="121">
        <f>SUM(F6:F89)</f>
        <v>9375168.6700000018</v>
      </c>
    </row>
  </sheetData>
  <mergeCells count="1">
    <mergeCell ref="A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topLeftCell="F1" zoomScale="50" zoomScaleNormal="50" workbookViewId="0">
      <selection activeCell="S11" sqref="S11"/>
    </sheetView>
  </sheetViews>
  <sheetFormatPr baseColWidth="10" defaultColWidth="11.42578125" defaultRowHeight="15" x14ac:dyDescent="0.25"/>
  <cols>
    <col min="1" max="1" width="19.5703125" hidden="1" customWidth="1"/>
    <col min="2" max="2" width="0" hidden="1" customWidth="1"/>
    <col min="3" max="3" width="11.42578125" style="14"/>
    <col min="4" max="4" width="11.42578125" style="8" hidden="1" customWidth="1"/>
    <col min="5" max="5" width="50.28515625" style="4" hidden="1" customWidth="1"/>
    <col min="6" max="6" width="50.28515625" style="4" customWidth="1"/>
    <col min="7" max="7" width="14.85546875" style="3" customWidth="1"/>
    <col min="8" max="8" width="40.7109375" style="1" customWidth="1"/>
    <col min="9" max="9" width="20.7109375" style="2" customWidth="1"/>
    <col min="10" max="10" width="40.7109375" style="9" customWidth="1"/>
    <col min="11" max="11" width="20.7109375" style="2" customWidth="1"/>
    <col min="12" max="12" width="40.7109375" style="9" customWidth="1"/>
    <col min="13" max="13" width="20.7109375" style="2" customWidth="1"/>
    <col min="14" max="14" width="40.7109375" style="9" customWidth="1"/>
    <col min="15" max="15" width="20.7109375" style="2" customWidth="1"/>
  </cols>
  <sheetData>
    <row r="1" spans="2:15" x14ac:dyDescent="0.25">
      <c r="F1" s="90"/>
      <c r="G1" s="91"/>
      <c r="H1" s="92"/>
      <c r="I1" s="93"/>
      <c r="J1" s="94"/>
      <c r="K1" s="93"/>
      <c r="L1" s="94"/>
      <c r="M1" s="93"/>
      <c r="N1" s="94"/>
      <c r="O1" s="93"/>
    </row>
    <row r="2" spans="2:15" s="5" customFormat="1" x14ac:dyDescent="0.25">
      <c r="B2" s="5" t="s">
        <v>0</v>
      </c>
      <c r="C2" s="57"/>
      <c r="D2" s="13" t="s">
        <v>1</v>
      </c>
      <c r="E2" s="7" t="s">
        <v>2</v>
      </c>
      <c r="F2" s="95" t="s">
        <v>235</v>
      </c>
      <c r="G2" s="95" t="s">
        <v>3</v>
      </c>
      <c r="H2" s="263" t="s">
        <v>4</v>
      </c>
      <c r="I2" s="263"/>
      <c r="J2" s="263" t="s">
        <v>5</v>
      </c>
      <c r="K2" s="263"/>
      <c r="L2" s="263" t="s">
        <v>6</v>
      </c>
      <c r="M2" s="263"/>
      <c r="N2" s="263" t="s">
        <v>7</v>
      </c>
      <c r="O2" s="263"/>
    </row>
    <row r="3" spans="2:15" s="6" customFormat="1" ht="30" x14ac:dyDescent="0.25">
      <c r="C3" s="17"/>
      <c r="D3" s="18" t="s">
        <v>108</v>
      </c>
      <c r="E3" s="25" t="s">
        <v>120</v>
      </c>
      <c r="F3" s="25" t="s">
        <v>120</v>
      </c>
      <c r="G3" s="19" t="s">
        <v>3</v>
      </c>
      <c r="H3" s="58" t="s">
        <v>109</v>
      </c>
      <c r="I3" s="24" t="s">
        <v>110</v>
      </c>
      <c r="J3" s="24" t="s">
        <v>111</v>
      </c>
      <c r="K3" s="24">
        <v>150000</v>
      </c>
      <c r="L3" s="24"/>
      <c r="M3" s="22"/>
      <c r="N3" s="24"/>
      <c r="O3" s="22"/>
    </row>
    <row r="4" spans="2:15" s="6" customFormat="1" ht="45" customHeight="1" x14ac:dyDescent="0.25">
      <c r="C4" s="17"/>
      <c r="D4" s="18" t="s">
        <v>62</v>
      </c>
      <c r="E4" s="32" t="s">
        <v>122</v>
      </c>
      <c r="F4" s="25" t="s">
        <v>122</v>
      </c>
      <c r="G4" s="31" t="s">
        <v>3</v>
      </c>
      <c r="H4" s="23" t="s">
        <v>63</v>
      </c>
      <c r="I4" s="22">
        <v>4850</v>
      </c>
      <c r="J4" s="19" t="s">
        <v>54</v>
      </c>
      <c r="K4" s="22">
        <f>6850</f>
        <v>6850</v>
      </c>
      <c r="L4" s="24"/>
      <c r="M4" s="22"/>
      <c r="N4" s="24"/>
      <c r="O4" s="22"/>
    </row>
    <row r="5" spans="2:15" s="6" customFormat="1" x14ac:dyDescent="0.25">
      <c r="C5" s="17"/>
      <c r="D5" s="18" t="s">
        <v>41</v>
      </c>
      <c r="E5" s="34" t="s">
        <v>42</v>
      </c>
      <c r="F5" s="25" t="s">
        <v>42</v>
      </c>
      <c r="G5" s="19" t="s">
        <v>3</v>
      </c>
      <c r="H5" s="31" t="s">
        <v>43</v>
      </c>
      <c r="I5" s="22">
        <v>27600</v>
      </c>
      <c r="J5" s="24" t="s">
        <v>44</v>
      </c>
      <c r="K5" s="22">
        <f>57500/2</f>
        <v>28750</v>
      </c>
      <c r="L5" s="42" t="s">
        <v>45</v>
      </c>
      <c r="M5" s="43"/>
      <c r="N5" s="24" t="s">
        <v>45</v>
      </c>
      <c r="O5" s="22"/>
    </row>
    <row r="6" spans="2:15" s="6" customFormat="1" ht="30" customHeight="1" x14ac:dyDescent="0.25">
      <c r="C6" s="17"/>
      <c r="D6" s="18" t="s">
        <v>77</v>
      </c>
      <c r="E6" s="32" t="s">
        <v>78</v>
      </c>
      <c r="F6" s="25" t="s">
        <v>78</v>
      </c>
      <c r="G6" s="54" t="s">
        <v>3</v>
      </c>
      <c r="H6" s="31" t="s">
        <v>206</v>
      </c>
      <c r="I6" s="22">
        <v>447200</v>
      </c>
      <c r="J6" s="24" t="s">
        <v>207</v>
      </c>
      <c r="K6" s="22">
        <v>172900</v>
      </c>
      <c r="L6" s="24" t="s">
        <v>208</v>
      </c>
      <c r="M6" s="22">
        <v>230000</v>
      </c>
      <c r="N6" s="24" t="s">
        <v>209</v>
      </c>
      <c r="O6" s="22"/>
    </row>
    <row r="7" spans="2:15" s="6" customFormat="1" ht="60" x14ac:dyDescent="0.25">
      <c r="C7" s="17"/>
      <c r="D7" s="26" t="s">
        <v>33</v>
      </c>
      <c r="E7" s="47" t="s">
        <v>139</v>
      </c>
      <c r="F7" s="25" t="s">
        <v>139</v>
      </c>
      <c r="G7" s="28" t="s">
        <v>3</v>
      </c>
      <c r="H7" s="41" t="s">
        <v>211</v>
      </c>
      <c r="I7" s="29">
        <v>2469</v>
      </c>
      <c r="J7" s="30" t="s">
        <v>34</v>
      </c>
      <c r="K7" s="29">
        <v>4035</v>
      </c>
      <c r="L7" s="28"/>
      <c r="M7" s="29"/>
      <c r="N7" s="28"/>
      <c r="O7" s="29"/>
    </row>
    <row r="8" spans="2:15" s="6" customFormat="1" ht="30" x14ac:dyDescent="0.25">
      <c r="C8" s="17"/>
      <c r="D8" s="18" t="s">
        <v>50</v>
      </c>
      <c r="E8" s="34" t="s">
        <v>51</v>
      </c>
      <c r="F8" s="25" t="s">
        <v>51</v>
      </c>
      <c r="G8" s="19" t="s">
        <v>3</v>
      </c>
      <c r="H8" s="23" t="s">
        <v>212</v>
      </c>
      <c r="I8" s="22">
        <v>67000</v>
      </c>
      <c r="J8" s="23"/>
      <c r="K8" s="22"/>
      <c r="L8" s="24"/>
      <c r="M8" s="22"/>
      <c r="N8" s="24"/>
      <c r="O8" s="22"/>
    </row>
    <row r="9" spans="2:15" s="6" customFormat="1" ht="45" x14ac:dyDescent="0.25">
      <c r="C9" s="17"/>
      <c r="D9" s="18" t="s">
        <v>104</v>
      </c>
      <c r="E9" s="32" t="s">
        <v>105</v>
      </c>
      <c r="F9" s="25" t="s">
        <v>105</v>
      </c>
      <c r="G9" s="32" t="s">
        <v>3</v>
      </c>
      <c r="H9" s="21" t="s">
        <v>106</v>
      </c>
      <c r="I9" s="21">
        <v>119900</v>
      </c>
      <c r="J9" s="21" t="s">
        <v>107</v>
      </c>
      <c r="K9" s="21">
        <v>125000</v>
      </c>
      <c r="L9" s="21"/>
      <c r="M9" s="22"/>
      <c r="N9" s="24"/>
      <c r="O9" s="22"/>
    </row>
    <row r="10" spans="2:15" s="6" customFormat="1" ht="45" x14ac:dyDescent="0.25">
      <c r="C10" s="17"/>
      <c r="D10" s="18" t="s">
        <v>88</v>
      </c>
      <c r="E10" s="32" t="s">
        <v>158</v>
      </c>
      <c r="F10" s="25" t="s">
        <v>221</v>
      </c>
      <c r="G10" s="54" t="s">
        <v>3</v>
      </c>
      <c r="H10" s="55" t="s">
        <v>218</v>
      </c>
      <c r="I10" s="22">
        <v>15290</v>
      </c>
      <c r="J10" s="24" t="s">
        <v>219</v>
      </c>
      <c r="K10" s="22">
        <v>12900</v>
      </c>
      <c r="L10" s="24" t="s">
        <v>220</v>
      </c>
      <c r="M10" s="22">
        <v>12900</v>
      </c>
      <c r="N10" s="24"/>
      <c r="O10" s="22"/>
    </row>
    <row r="11" spans="2:15" s="6" customFormat="1" ht="45" x14ac:dyDescent="0.25">
      <c r="C11" s="17"/>
      <c r="D11" s="18" t="s">
        <v>89</v>
      </c>
      <c r="E11" s="25" t="s">
        <v>141</v>
      </c>
      <c r="F11" s="25" t="s">
        <v>141</v>
      </c>
      <c r="G11" s="19" t="s">
        <v>38</v>
      </c>
      <c r="H11" s="50" t="s">
        <v>90</v>
      </c>
      <c r="I11" s="22">
        <v>49900</v>
      </c>
      <c r="J11" s="23" t="s">
        <v>91</v>
      </c>
      <c r="K11" s="22">
        <v>49900</v>
      </c>
      <c r="L11" s="24"/>
      <c r="M11" s="22"/>
      <c r="N11" s="24"/>
      <c r="O11" s="22"/>
    </row>
    <row r="12" spans="2:15" s="6" customFormat="1" ht="60" x14ac:dyDescent="0.25">
      <c r="C12" s="17"/>
      <c r="D12" s="18" t="s">
        <v>64</v>
      </c>
      <c r="E12" s="19" t="s">
        <v>113</v>
      </c>
      <c r="F12" s="25" t="s">
        <v>113</v>
      </c>
      <c r="G12" s="19" t="s">
        <v>65</v>
      </c>
      <c r="H12" s="41" t="s">
        <v>66</v>
      </c>
      <c r="I12" s="22">
        <v>31900</v>
      </c>
      <c r="J12" s="41" t="s">
        <v>67</v>
      </c>
      <c r="K12" s="22">
        <v>39900</v>
      </c>
      <c r="L12" s="19"/>
      <c r="M12" s="22"/>
      <c r="N12" s="19"/>
      <c r="O12" s="22"/>
    </row>
    <row r="13" spans="2:15" s="6" customFormat="1" x14ac:dyDescent="0.25">
      <c r="C13" s="17"/>
      <c r="D13" s="26" t="s">
        <v>29</v>
      </c>
      <c r="E13" s="38" t="s">
        <v>151</v>
      </c>
      <c r="F13" s="25" t="s">
        <v>151</v>
      </c>
      <c r="G13" s="39" t="s">
        <v>3</v>
      </c>
      <c r="H13" s="39" t="s">
        <v>213</v>
      </c>
      <c r="I13" s="29">
        <v>850</v>
      </c>
      <c r="J13" s="39"/>
      <c r="K13" s="29"/>
      <c r="L13" s="39"/>
      <c r="M13" s="29"/>
      <c r="N13" s="39"/>
      <c r="O13" s="29"/>
    </row>
    <row r="14" spans="2:15" s="6" customFormat="1" x14ac:dyDescent="0.25">
      <c r="C14" s="17"/>
      <c r="D14" s="26" t="s">
        <v>27</v>
      </c>
      <c r="E14" s="38" t="s">
        <v>28</v>
      </c>
      <c r="F14" s="25" t="s">
        <v>28</v>
      </c>
      <c r="G14" s="39" t="s">
        <v>3</v>
      </c>
      <c r="H14" s="48" t="s">
        <v>214</v>
      </c>
      <c r="I14" s="29">
        <v>850</v>
      </c>
      <c r="J14" s="39"/>
      <c r="K14" s="29"/>
      <c r="L14" s="39"/>
      <c r="M14" s="29"/>
      <c r="N14" s="39"/>
      <c r="O14" s="29"/>
    </row>
    <row r="15" spans="2:15" s="6" customFormat="1" ht="30" x14ac:dyDescent="0.25">
      <c r="C15" s="17"/>
      <c r="D15" s="18" t="s">
        <v>83</v>
      </c>
      <c r="E15" s="25" t="s">
        <v>84</v>
      </c>
      <c r="F15" s="25" t="s">
        <v>84</v>
      </c>
      <c r="G15" s="19" t="s">
        <v>3</v>
      </c>
      <c r="H15" s="50" t="s">
        <v>85</v>
      </c>
      <c r="I15" s="22">
        <v>24700</v>
      </c>
      <c r="J15" s="24" t="s">
        <v>86</v>
      </c>
      <c r="K15" s="22">
        <f>16471*1.19</f>
        <v>19600.489999999998</v>
      </c>
      <c r="L15" s="24" t="s">
        <v>87</v>
      </c>
      <c r="M15" s="22">
        <f>18908*1.19</f>
        <v>22500.52</v>
      </c>
      <c r="N15" s="24" t="s">
        <v>87</v>
      </c>
      <c r="O15" s="22">
        <f>18908*1.19</f>
        <v>22500.52</v>
      </c>
    </row>
    <row r="16" spans="2:15" s="6" customFormat="1" x14ac:dyDescent="0.25">
      <c r="C16" s="17"/>
      <c r="D16" s="18" t="s">
        <v>95</v>
      </c>
      <c r="E16" s="25" t="s">
        <v>96</v>
      </c>
      <c r="F16" s="25" t="s">
        <v>96</v>
      </c>
      <c r="G16" s="19" t="s">
        <v>3</v>
      </c>
      <c r="H16" s="37" t="s">
        <v>97</v>
      </c>
      <c r="I16" s="22">
        <f>17774*1.19</f>
        <v>21151.059999999998</v>
      </c>
      <c r="J16" s="37" t="s">
        <v>98</v>
      </c>
      <c r="K16" s="22">
        <f>18487*1.19</f>
        <v>21999.53</v>
      </c>
      <c r="L16" s="37" t="s">
        <v>99</v>
      </c>
      <c r="M16" s="22">
        <f>15126*1.19</f>
        <v>17999.939999999999</v>
      </c>
      <c r="N16" s="37" t="s">
        <v>99</v>
      </c>
      <c r="O16" s="22">
        <f>15126*1.19</f>
        <v>17999.939999999999</v>
      </c>
    </row>
    <row r="17" spans="1:15" s="6" customFormat="1" ht="60" x14ac:dyDescent="0.25">
      <c r="A17" s="36"/>
      <c r="B17" s="36"/>
      <c r="C17" s="17"/>
      <c r="D17" s="26" t="s">
        <v>20</v>
      </c>
      <c r="E17" s="27" t="s">
        <v>159</v>
      </c>
      <c r="F17" s="25" t="s">
        <v>222</v>
      </c>
      <c r="G17" s="35" t="s">
        <v>17</v>
      </c>
      <c r="H17" s="46" t="s">
        <v>21</v>
      </c>
      <c r="I17" s="29">
        <v>118524</v>
      </c>
      <c r="J17" s="30" t="s">
        <v>223</v>
      </c>
      <c r="K17" s="29">
        <v>59262</v>
      </c>
      <c r="L17" s="28"/>
      <c r="M17" s="29"/>
      <c r="N17" s="28"/>
      <c r="O17" s="29"/>
    </row>
    <row r="18" spans="1:15" s="6" customFormat="1" ht="135" x14ac:dyDescent="0.25">
      <c r="C18" s="17"/>
      <c r="D18" s="18" t="s">
        <v>68</v>
      </c>
      <c r="E18" s="19" t="s">
        <v>162</v>
      </c>
      <c r="F18" s="25" t="s">
        <v>162</v>
      </c>
      <c r="G18" s="19" t="s">
        <v>53</v>
      </c>
      <c r="H18" s="41" t="s">
        <v>224</v>
      </c>
      <c r="I18" s="22">
        <v>160900</v>
      </c>
      <c r="J18" s="19"/>
      <c r="K18" s="22">
        <v>168000</v>
      </c>
      <c r="L18" s="19"/>
      <c r="M18" s="22"/>
      <c r="N18" s="19"/>
      <c r="O18" s="22"/>
    </row>
    <row r="19" spans="1:15" s="6" customFormat="1" ht="43.5" x14ac:dyDescent="0.25">
      <c r="C19" s="17"/>
      <c r="D19" s="18" t="s">
        <v>70</v>
      </c>
      <c r="E19" s="32" t="s">
        <v>71</v>
      </c>
      <c r="F19" s="25" t="s">
        <v>203</v>
      </c>
      <c r="G19" s="54" t="s">
        <v>3</v>
      </c>
      <c r="H19" s="31" t="s">
        <v>204</v>
      </c>
      <c r="I19" s="22">
        <v>120900</v>
      </c>
      <c r="J19" s="24" t="s">
        <v>205</v>
      </c>
      <c r="K19" s="22">
        <v>120850</v>
      </c>
      <c r="L19" s="24"/>
      <c r="M19" s="22"/>
      <c r="N19" s="42"/>
      <c r="O19" s="43"/>
    </row>
    <row r="20" spans="1:15" s="6" customFormat="1" ht="30" x14ac:dyDescent="0.25">
      <c r="C20" s="17"/>
      <c r="D20" s="18" t="s">
        <v>73</v>
      </c>
      <c r="E20" s="32" t="s">
        <v>74</v>
      </c>
      <c r="F20" s="25" t="s">
        <v>74</v>
      </c>
      <c r="G20" s="54" t="s">
        <v>3</v>
      </c>
      <c r="H20" s="31" t="s">
        <v>72</v>
      </c>
      <c r="I20" s="22">
        <f>35546*1.19</f>
        <v>42299.74</v>
      </c>
      <c r="J20" s="24"/>
      <c r="K20" s="22">
        <v>45000</v>
      </c>
      <c r="L20" s="24"/>
      <c r="M20" s="22">
        <v>49000</v>
      </c>
      <c r="N20" s="24"/>
      <c r="O20" s="22">
        <v>49000</v>
      </c>
    </row>
    <row r="21" spans="1:15" s="6" customFormat="1" ht="32.25" customHeight="1" x14ac:dyDescent="0.25">
      <c r="C21" s="17"/>
      <c r="D21" s="18" t="s">
        <v>79</v>
      </c>
      <c r="E21" s="32" t="s">
        <v>80</v>
      </c>
      <c r="F21" s="25" t="s">
        <v>80</v>
      </c>
      <c r="G21" s="54" t="s">
        <v>3</v>
      </c>
      <c r="H21" s="31" t="s">
        <v>72</v>
      </c>
      <c r="I21" s="22">
        <f>35546*1.19</f>
        <v>42299.74</v>
      </c>
      <c r="J21" s="24"/>
      <c r="K21" s="22">
        <v>45000</v>
      </c>
      <c r="L21" s="24"/>
      <c r="M21" s="22">
        <v>48000</v>
      </c>
      <c r="N21" s="24"/>
      <c r="O21" s="22">
        <v>48000</v>
      </c>
    </row>
    <row r="22" spans="1:15" s="6" customFormat="1" ht="30" x14ac:dyDescent="0.25">
      <c r="C22" s="17"/>
      <c r="D22" s="18" t="s">
        <v>75</v>
      </c>
      <c r="E22" s="32" t="s">
        <v>76</v>
      </c>
      <c r="F22" s="25" t="s">
        <v>76</v>
      </c>
      <c r="G22" s="54" t="s">
        <v>3</v>
      </c>
      <c r="H22" s="31" t="s">
        <v>72</v>
      </c>
      <c r="I22" s="22">
        <f>45294*1.19</f>
        <v>53899.86</v>
      </c>
      <c r="J22" s="24"/>
      <c r="K22" s="22">
        <v>57000</v>
      </c>
      <c r="L22" s="24"/>
      <c r="M22" s="22">
        <v>55000</v>
      </c>
      <c r="N22" s="24"/>
      <c r="O22" s="22">
        <v>55000</v>
      </c>
    </row>
    <row r="23" spans="1:15" s="6" customFormat="1" ht="26.25" customHeight="1" x14ac:dyDescent="0.25">
      <c r="C23" s="17"/>
      <c r="D23" s="18" t="s">
        <v>81</v>
      </c>
      <c r="E23" s="32" t="s">
        <v>82</v>
      </c>
      <c r="F23" s="25" t="s">
        <v>82</v>
      </c>
      <c r="G23" s="54" t="s">
        <v>3</v>
      </c>
      <c r="H23" s="31" t="s">
        <v>72</v>
      </c>
      <c r="I23" s="22">
        <f>36261*1.19</f>
        <v>43150.59</v>
      </c>
      <c r="J23" s="24"/>
      <c r="K23" s="22">
        <v>45000</v>
      </c>
      <c r="L23" s="24"/>
      <c r="M23" s="22">
        <v>47000</v>
      </c>
      <c r="N23" s="24"/>
      <c r="O23" s="22">
        <v>47000</v>
      </c>
    </row>
    <row r="24" spans="1:15" s="83" customFormat="1" ht="45" x14ac:dyDescent="0.25">
      <c r="A24" s="45"/>
      <c r="B24" s="45"/>
      <c r="C24" s="59"/>
      <c r="D24" s="26" t="s">
        <v>23</v>
      </c>
      <c r="E24" s="27" t="s">
        <v>24</v>
      </c>
      <c r="F24" s="25" t="s">
        <v>24</v>
      </c>
      <c r="G24" s="35" t="s">
        <v>3</v>
      </c>
      <c r="H24" s="35" t="s">
        <v>229</v>
      </c>
      <c r="I24" s="29">
        <v>17250</v>
      </c>
      <c r="J24" s="28" t="s">
        <v>25</v>
      </c>
      <c r="K24" s="29">
        <v>23250</v>
      </c>
      <c r="L24" s="44"/>
      <c r="M24" s="44"/>
      <c r="N24" s="28" t="s">
        <v>25</v>
      </c>
      <c r="O24" s="29">
        <v>23250</v>
      </c>
    </row>
    <row r="25" spans="1:15" s="6" customFormat="1" ht="60" x14ac:dyDescent="0.25">
      <c r="C25" s="17"/>
      <c r="D25" s="18" t="s">
        <v>101</v>
      </c>
      <c r="E25" s="32" t="s">
        <v>178</v>
      </c>
      <c r="F25" s="25" t="s">
        <v>178</v>
      </c>
      <c r="G25" s="20" t="s">
        <v>26</v>
      </c>
      <c r="H25" s="21" t="s">
        <v>102</v>
      </c>
      <c r="I25" s="22">
        <v>2900</v>
      </c>
      <c r="J25" s="23" t="s">
        <v>103</v>
      </c>
      <c r="K25" s="22">
        <v>3100</v>
      </c>
      <c r="L25" s="24"/>
      <c r="M25" s="22"/>
      <c r="N25" s="24"/>
      <c r="O25" s="22"/>
    </row>
    <row r="26" spans="1:15" s="6" customFormat="1" ht="60" customHeight="1" x14ac:dyDescent="0.25">
      <c r="C26" s="17"/>
      <c r="D26" s="52" t="s">
        <v>35</v>
      </c>
      <c r="E26" s="60" t="s">
        <v>180</v>
      </c>
      <c r="F26" s="25" t="s">
        <v>180</v>
      </c>
      <c r="G26" s="61" t="s">
        <v>3</v>
      </c>
      <c r="H26" s="62" t="s">
        <v>36</v>
      </c>
      <c r="I26" s="40">
        <v>56600</v>
      </c>
      <c r="J26" s="63" t="s">
        <v>32</v>
      </c>
      <c r="K26" s="40">
        <v>63150</v>
      </c>
      <c r="L26" s="64" t="s">
        <v>37</v>
      </c>
      <c r="M26" s="40">
        <v>51900</v>
      </c>
      <c r="N26" s="64" t="s">
        <v>37</v>
      </c>
      <c r="O26" s="40">
        <v>51900</v>
      </c>
    </row>
    <row r="27" spans="1:15" s="6" customFormat="1" ht="15" customHeight="1" x14ac:dyDescent="0.25">
      <c r="C27" s="17"/>
      <c r="D27" s="10" t="s">
        <v>58</v>
      </c>
      <c r="E27" s="65" t="s">
        <v>181</v>
      </c>
      <c r="F27" s="25" t="s">
        <v>181</v>
      </c>
      <c r="G27" s="12" t="s">
        <v>9</v>
      </c>
      <c r="H27" s="66" t="s">
        <v>59</v>
      </c>
      <c r="I27" s="43">
        <v>14850</v>
      </c>
      <c r="J27" s="53" t="s">
        <v>54</v>
      </c>
      <c r="K27" s="43">
        <f>14150*1.19</f>
        <v>16838.5</v>
      </c>
      <c r="L27" s="42"/>
      <c r="M27" s="43"/>
      <c r="N27" s="42"/>
      <c r="O27" s="43"/>
    </row>
    <row r="28" spans="1:15" s="6" customFormat="1" ht="15" customHeight="1" x14ac:dyDescent="0.25">
      <c r="C28" s="17"/>
      <c r="D28" s="10" t="s">
        <v>55</v>
      </c>
      <c r="E28" s="65" t="s">
        <v>182</v>
      </c>
      <c r="F28" s="25" t="s">
        <v>182</v>
      </c>
      <c r="G28" s="12" t="s">
        <v>3</v>
      </c>
      <c r="H28" s="66" t="s">
        <v>56</v>
      </c>
      <c r="I28" s="43">
        <f>106900</f>
        <v>106900</v>
      </c>
      <c r="J28" s="63" t="s">
        <v>57</v>
      </c>
      <c r="K28" s="43">
        <f>95276*1.19</f>
        <v>113378.43999999999</v>
      </c>
      <c r="L28" s="42"/>
      <c r="M28" s="43"/>
      <c r="N28" s="42"/>
      <c r="O28" s="43"/>
    </row>
    <row r="29" spans="1:15" s="6" customFormat="1" ht="15" customHeight="1" x14ac:dyDescent="0.25">
      <c r="C29" s="17"/>
      <c r="D29" s="10" t="s">
        <v>60</v>
      </c>
      <c r="E29" s="11" t="s">
        <v>183</v>
      </c>
      <c r="F29" s="25" t="s">
        <v>183</v>
      </c>
      <c r="G29" s="12" t="s">
        <v>3</v>
      </c>
      <c r="H29" s="66" t="s">
        <v>61</v>
      </c>
      <c r="I29" s="43">
        <v>35000</v>
      </c>
      <c r="J29" s="53" t="s">
        <v>54</v>
      </c>
      <c r="K29" s="43">
        <f>37800</f>
        <v>37800</v>
      </c>
      <c r="L29" s="42"/>
      <c r="M29" s="43"/>
      <c r="N29" s="42"/>
      <c r="O29" s="43"/>
    </row>
    <row r="30" spans="1:15" s="6" customFormat="1" ht="15" customHeight="1" x14ac:dyDescent="0.25">
      <c r="C30" s="17"/>
      <c r="D30" s="52" t="s">
        <v>11</v>
      </c>
      <c r="E30" s="67" t="s">
        <v>184</v>
      </c>
      <c r="F30" s="25" t="s">
        <v>184</v>
      </c>
      <c r="G30" s="68" t="s">
        <v>9</v>
      </c>
      <c r="H30" s="69" t="s">
        <v>12</v>
      </c>
      <c r="I30" s="40">
        <v>30983</v>
      </c>
      <c r="J30" s="51" t="s">
        <v>13</v>
      </c>
      <c r="K30" s="40">
        <v>39300</v>
      </c>
      <c r="L30" s="51" t="s">
        <v>14</v>
      </c>
      <c r="M30" s="40">
        <v>44911</v>
      </c>
      <c r="N30" s="51" t="s">
        <v>14</v>
      </c>
      <c r="O30" s="40">
        <v>44911</v>
      </c>
    </row>
    <row r="31" spans="1:15" s="6" customFormat="1" ht="15" customHeight="1" x14ac:dyDescent="0.25">
      <c r="C31" s="17"/>
      <c r="D31" s="10" t="s">
        <v>92</v>
      </c>
      <c r="E31" s="70" t="s">
        <v>185</v>
      </c>
      <c r="F31" s="25" t="s">
        <v>185</v>
      </c>
      <c r="G31" s="71" t="s">
        <v>38</v>
      </c>
      <c r="H31" s="72" t="s">
        <v>93</v>
      </c>
      <c r="I31" s="43">
        <v>8900</v>
      </c>
      <c r="J31" s="73" t="s">
        <v>94</v>
      </c>
      <c r="K31" s="43">
        <v>9200</v>
      </c>
      <c r="L31" s="42"/>
      <c r="M31" s="43"/>
      <c r="N31" s="42"/>
      <c r="O31" s="43"/>
    </row>
    <row r="32" spans="1:15" s="6" customFormat="1" ht="28.5" customHeight="1" x14ac:dyDescent="0.25">
      <c r="C32" s="17"/>
      <c r="D32" s="10" t="s">
        <v>46</v>
      </c>
      <c r="E32" s="74" t="s">
        <v>47</v>
      </c>
      <c r="F32" s="88" t="s">
        <v>215</v>
      </c>
      <c r="G32" s="75" t="s">
        <v>3</v>
      </c>
      <c r="H32" s="76" t="s">
        <v>48</v>
      </c>
      <c r="I32" s="77">
        <v>58823</v>
      </c>
      <c r="J32" s="78" t="s">
        <v>49</v>
      </c>
      <c r="K32" s="77">
        <v>68000</v>
      </c>
      <c r="L32" s="79" t="s">
        <v>216</v>
      </c>
      <c r="M32" s="43">
        <v>62000</v>
      </c>
      <c r="N32" s="80"/>
      <c r="O32" s="43"/>
    </row>
    <row r="33" spans="1:15" s="6" customFormat="1" ht="30" customHeight="1" x14ac:dyDescent="0.25">
      <c r="A33" s="36"/>
      <c r="B33" s="36"/>
      <c r="C33" s="17"/>
      <c r="D33" s="52" t="s">
        <v>15</v>
      </c>
      <c r="E33" s="81" t="s">
        <v>188</v>
      </c>
      <c r="F33" s="25" t="s">
        <v>188</v>
      </c>
      <c r="G33" s="56" t="s">
        <v>3</v>
      </c>
      <c r="H33" s="52" t="s">
        <v>16</v>
      </c>
      <c r="I33" s="40">
        <v>2285</v>
      </c>
      <c r="J33" s="82" t="s">
        <v>231</v>
      </c>
      <c r="K33" s="40">
        <v>2200</v>
      </c>
      <c r="L33" s="49" t="s">
        <v>232</v>
      </c>
      <c r="M33" s="40">
        <v>2396</v>
      </c>
      <c r="N33" s="49"/>
      <c r="O33" s="40"/>
    </row>
    <row r="34" spans="1:15" s="6" customFormat="1" ht="45" x14ac:dyDescent="0.25">
      <c r="C34" s="17"/>
      <c r="D34" s="10"/>
      <c r="E34" s="15"/>
      <c r="F34" s="89" t="s">
        <v>227</v>
      </c>
      <c r="G34" s="16" t="s">
        <v>3</v>
      </c>
      <c r="H34" s="80" t="s">
        <v>225</v>
      </c>
      <c r="I34" s="43">
        <v>496100</v>
      </c>
      <c r="J34" s="53" t="s">
        <v>226</v>
      </c>
      <c r="K34" s="43">
        <v>496100</v>
      </c>
      <c r="L34" s="42"/>
      <c r="M34" s="43"/>
      <c r="N34" s="42"/>
      <c r="O34" s="43"/>
    </row>
    <row r="35" spans="1:15" s="6" customFormat="1" x14ac:dyDescent="0.25">
      <c r="C35" s="17"/>
      <c r="D35" s="36"/>
      <c r="E35" s="84"/>
      <c r="F35" s="84"/>
      <c r="G35" s="85"/>
      <c r="H35" s="33"/>
      <c r="I35" s="86"/>
      <c r="J35" s="87"/>
      <c r="K35" s="86"/>
      <c r="L35" s="87"/>
      <c r="M35" s="86"/>
      <c r="N35" s="87"/>
      <c r="O35" s="86"/>
    </row>
    <row r="36" spans="1:15" s="6" customFormat="1" x14ac:dyDescent="0.25">
      <c r="C36" s="17"/>
      <c r="D36" s="36"/>
      <c r="E36" s="84"/>
      <c r="F36" s="84"/>
      <c r="G36" s="85"/>
      <c r="H36" s="33"/>
      <c r="I36" s="86"/>
      <c r="J36" s="87"/>
      <c r="K36" s="86"/>
      <c r="L36" s="87"/>
      <c r="M36" s="86"/>
      <c r="N36" s="87"/>
      <c r="O36" s="86"/>
    </row>
    <row r="37" spans="1:15" s="6" customFormat="1" x14ac:dyDescent="0.25">
      <c r="C37" s="17"/>
      <c r="D37" s="36"/>
      <c r="E37" s="84"/>
      <c r="F37" s="84"/>
      <c r="G37" s="85"/>
      <c r="H37" s="33"/>
      <c r="I37" s="86"/>
      <c r="J37" s="87"/>
      <c r="K37" s="86"/>
      <c r="L37" s="87"/>
      <c r="M37" s="86"/>
      <c r="N37" s="87"/>
      <c r="O37" s="86"/>
    </row>
    <row r="38" spans="1:15" s="6" customFormat="1" x14ac:dyDescent="0.25">
      <c r="C38" s="17"/>
      <c r="D38" s="36"/>
      <c r="E38" s="84"/>
      <c r="F38" s="84"/>
      <c r="G38" s="85"/>
      <c r="H38" s="33"/>
      <c r="I38" s="86"/>
      <c r="J38" s="87"/>
      <c r="K38" s="86"/>
      <c r="L38" s="87"/>
      <c r="M38" s="86"/>
      <c r="N38" s="87"/>
      <c r="O38" s="86"/>
    </row>
    <row r="39" spans="1:15" s="6" customFormat="1" x14ac:dyDescent="0.25">
      <c r="C39" s="17"/>
      <c r="D39" s="36"/>
      <c r="E39" s="84"/>
      <c r="F39" s="84"/>
      <c r="G39" s="85"/>
      <c r="H39" s="33"/>
      <c r="I39" s="86"/>
      <c r="J39" s="87"/>
      <c r="K39" s="86"/>
      <c r="L39" s="87"/>
      <c r="M39" s="86"/>
      <c r="N39" s="87"/>
      <c r="O39" s="86"/>
    </row>
    <row r="40" spans="1:15" s="6" customFormat="1" x14ac:dyDescent="0.25">
      <c r="C40" s="17"/>
      <c r="D40" s="36"/>
      <c r="E40" s="84"/>
      <c r="F40" s="84"/>
      <c r="G40" s="85"/>
      <c r="H40" s="33"/>
      <c r="I40" s="86"/>
      <c r="J40" s="87"/>
      <c r="K40" s="86"/>
      <c r="L40" s="87"/>
      <c r="M40" s="86"/>
      <c r="N40" s="87"/>
      <c r="O40" s="86"/>
    </row>
    <row r="41" spans="1:15" s="6" customFormat="1" x14ac:dyDescent="0.25">
      <c r="C41" s="17"/>
      <c r="D41" s="36"/>
      <c r="E41" s="84"/>
      <c r="F41" s="84"/>
      <c r="G41" s="85"/>
      <c r="H41" s="33"/>
      <c r="I41" s="86"/>
      <c r="J41" s="87"/>
      <c r="K41" s="86"/>
      <c r="L41" s="87"/>
      <c r="M41" s="86"/>
      <c r="N41" s="87"/>
      <c r="O41" s="86"/>
    </row>
    <row r="42" spans="1:15" s="6" customFormat="1" x14ac:dyDescent="0.25">
      <c r="C42" s="17"/>
      <c r="D42" s="36"/>
      <c r="E42" s="84"/>
      <c r="F42" s="84"/>
      <c r="G42" s="85"/>
      <c r="H42" s="33"/>
      <c r="I42" s="86"/>
      <c r="J42" s="87"/>
      <c r="K42" s="86"/>
      <c r="L42" s="87"/>
      <c r="M42" s="86"/>
      <c r="N42" s="87"/>
      <c r="O42" s="86"/>
    </row>
    <row r="43" spans="1:15" s="6" customFormat="1" x14ac:dyDescent="0.25">
      <c r="C43" s="17"/>
      <c r="D43" s="36"/>
      <c r="E43" s="84"/>
      <c r="F43" s="84"/>
      <c r="G43" s="85"/>
      <c r="H43" s="33"/>
      <c r="I43" s="86"/>
      <c r="J43" s="87"/>
      <c r="K43" s="86"/>
      <c r="L43" s="87"/>
      <c r="M43" s="86"/>
      <c r="N43" s="87"/>
      <c r="O43" s="86"/>
    </row>
    <row r="44" spans="1:15" s="6" customFormat="1" x14ac:dyDescent="0.25">
      <c r="C44" s="17"/>
      <c r="D44" s="36"/>
      <c r="E44" s="84"/>
      <c r="F44" s="84"/>
      <c r="G44" s="85"/>
      <c r="H44" s="33"/>
      <c r="I44" s="86"/>
      <c r="J44" s="87"/>
      <c r="K44" s="86"/>
      <c r="L44" s="87"/>
      <c r="M44" s="86"/>
      <c r="N44" s="87"/>
      <c r="O44" s="86"/>
    </row>
    <row r="45" spans="1:15" s="6" customFormat="1" x14ac:dyDescent="0.25">
      <c r="C45" s="17"/>
      <c r="D45" s="36"/>
      <c r="E45" s="84"/>
      <c r="F45" s="84"/>
      <c r="G45" s="85"/>
      <c r="H45" s="33"/>
      <c r="I45" s="86"/>
      <c r="J45" s="87"/>
      <c r="K45" s="86"/>
      <c r="L45" s="87"/>
      <c r="M45" s="86"/>
      <c r="N45" s="87"/>
      <c r="O45" s="86"/>
    </row>
    <row r="46" spans="1:15" s="6" customFormat="1" x14ac:dyDescent="0.25">
      <c r="C46" s="17"/>
      <c r="D46" s="36"/>
      <c r="E46" s="84"/>
      <c r="F46" s="84"/>
      <c r="G46" s="85"/>
      <c r="H46" s="33"/>
      <c r="I46" s="86"/>
      <c r="J46" s="87"/>
      <c r="K46" s="86"/>
      <c r="L46" s="87"/>
      <c r="M46" s="86"/>
      <c r="N46" s="87"/>
      <c r="O46" s="86"/>
    </row>
    <row r="47" spans="1:15" s="6" customFormat="1" x14ac:dyDescent="0.25">
      <c r="C47" s="17"/>
      <c r="D47" s="36"/>
      <c r="E47" s="84"/>
      <c r="F47" s="84"/>
      <c r="G47" s="85"/>
      <c r="H47" s="33"/>
      <c r="I47" s="86"/>
      <c r="J47" s="87"/>
      <c r="K47" s="86"/>
      <c r="L47" s="87"/>
      <c r="M47" s="86"/>
      <c r="N47" s="87"/>
      <c r="O47" s="86"/>
    </row>
    <row r="48" spans="1:15" s="6" customFormat="1" x14ac:dyDescent="0.25">
      <c r="C48" s="17"/>
      <c r="D48" s="36"/>
      <c r="E48" s="84"/>
      <c r="F48" s="84"/>
      <c r="G48" s="85"/>
      <c r="H48" s="33"/>
      <c r="I48" s="86"/>
      <c r="J48" s="87"/>
      <c r="K48" s="86"/>
      <c r="L48" s="87"/>
      <c r="M48" s="86"/>
      <c r="N48" s="87"/>
      <c r="O48" s="86"/>
    </row>
    <row r="49" spans="3:15" s="6" customFormat="1" x14ac:dyDescent="0.25">
      <c r="C49" s="17"/>
      <c r="D49" s="36"/>
      <c r="E49" s="84"/>
      <c r="F49" s="84"/>
      <c r="G49" s="85"/>
      <c r="H49" s="33"/>
      <c r="I49" s="86"/>
      <c r="J49" s="87"/>
      <c r="K49" s="86"/>
      <c r="L49" s="87"/>
      <c r="M49" s="86"/>
      <c r="N49" s="87"/>
      <c r="O49" s="86"/>
    </row>
    <row r="50" spans="3:15" s="6" customFormat="1" x14ac:dyDescent="0.25">
      <c r="C50" s="17"/>
      <c r="D50" s="36"/>
      <c r="E50" s="84"/>
      <c r="F50" s="84"/>
      <c r="G50" s="85"/>
      <c r="H50" s="33"/>
      <c r="I50" s="86"/>
      <c r="J50" s="87"/>
      <c r="K50" s="86"/>
      <c r="L50" s="87"/>
      <c r="M50" s="86"/>
      <c r="N50" s="87"/>
      <c r="O50" s="86"/>
    </row>
    <row r="51" spans="3:15" s="6" customFormat="1" x14ac:dyDescent="0.25">
      <c r="C51" s="17"/>
      <c r="D51" s="36"/>
      <c r="E51" s="84"/>
      <c r="F51" s="84"/>
      <c r="G51" s="85"/>
      <c r="H51" s="33"/>
      <c r="I51" s="86"/>
      <c r="J51" s="87"/>
      <c r="K51" s="86"/>
      <c r="L51" s="87"/>
      <c r="M51" s="86"/>
      <c r="N51" s="87"/>
      <c r="O51" s="86"/>
    </row>
    <row r="52" spans="3:15" s="6" customFormat="1" x14ac:dyDescent="0.25">
      <c r="C52" s="17"/>
      <c r="D52" s="36"/>
      <c r="E52" s="84"/>
      <c r="F52" s="84"/>
      <c r="G52" s="85"/>
      <c r="H52" s="33"/>
      <c r="I52" s="86"/>
      <c r="J52" s="87"/>
      <c r="K52" s="86"/>
      <c r="L52" s="87"/>
      <c r="M52" s="86"/>
      <c r="N52" s="87"/>
      <c r="O52" s="86"/>
    </row>
    <row r="53" spans="3:15" s="6" customFormat="1" x14ac:dyDescent="0.25">
      <c r="C53" s="17"/>
      <c r="D53" s="36"/>
      <c r="E53" s="84"/>
      <c r="F53" s="84"/>
      <c r="G53" s="85"/>
      <c r="H53" s="33"/>
      <c r="I53" s="86"/>
      <c r="J53" s="87"/>
      <c r="K53" s="86"/>
      <c r="L53" s="87"/>
      <c r="M53" s="86"/>
      <c r="N53" s="87"/>
      <c r="O53" s="86"/>
    </row>
    <row r="54" spans="3:15" s="6" customFormat="1" x14ac:dyDescent="0.25">
      <c r="C54" s="17"/>
      <c r="D54" s="36"/>
      <c r="E54" s="84"/>
      <c r="F54" s="84"/>
      <c r="G54" s="85"/>
      <c r="H54" s="33"/>
      <c r="I54" s="86"/>
      <c r="J54" s="87"/>
      <c r="K54" s="86"/>
      <c r="L54" s="87"/>
      <c r="M54" s="86"/>
      <c r="N54" s="87"/>
      <c r="O54" s="86"/>
    </row>
    <row r="55" spans="3:15" s="6" customFormat="1" x14ac:dyDescent="0.25">
      <c r="C55" s="17"/>
      <c r="D55" s="36"/>
      <c r="E55" s="84"/>
      <c r="F55" s="84"/>
      <c r="G55" s="85"/>
      <c r="H55" s="33"/>
      <c r="I55" s="86"/>
      <c r="J55" s="87"/>
      <c r="K55" s="86"/>
      <c r="L55" s="87"/>
      <c r="M55" s="86"/>
      <c r="N55" s="87"/>
      <c r="O55" s="86"/>
    </row>
    <row r="56" spans="3:15" s="6" customFormat="1" x14ac:dyDescent="0.25">
      <c r="C56" s="17"/>
      <c r="D56" s="36"/>
      <c r="E56" s="84"/>
      <c r="F56" s="84"/>
      <c r="G56" s="85"/>
      <c r="H56" s="33"/>
      <c r="I56" s="86"/>
      <c r="J56" s="87"/>
      <c r="K56" s="86"/>
      <c r="L56" s="87"/>
      <c r="M56" s="86"/>
      <c r="N56" s="87"/>
      <c r="O56" s="86"/>
    </row>
    <row r="57" spans="3:15" s="6" customFormat="1" x14ac:dyDescent="0.25">
      <c r="C57" s="17"/>
      <c r="D57" s="36"/>
      <c r="E57" s="84"/>
      <c r="F57" s="84"/>
      <c r="G57" s="85"/>
      <c r="H57" s="33"/>
      <c r="I57" s="86"/>
      <c r="J57" s="87"/>
      <c r="K57" s="86"/>
      <c r="L57" s="87"/>
      <c r="M57" s="86"/>
      <c r="N57" s="87"/>
      <c r="O57" s="86"/>
    </row>
    <row r="58" spans="3:15" s="6" customFormat="1" x14ac:dyDescent="0.25">
      <c r="C58" s="17"/>
      <c r="D58" s="36"/>
      <c r="E58" s="84"/>
      <c r="F58" s="84"/>
      <c r="G58" s="85"/>
      <c r="H58" s="33"/>
      <c r="I58" s="86"/>
      <c r="J58" s="87"/>
      <c r="K58" s="86"/>
      <c r="L58" s="87"/>
      <c r="M58" s="86"/>
      <c r="N58" s="87"/>
      <c r="O58" s="86"/>
    </row>
    <row r="59" spans="3:15" s="6" customFormat="1" x14ac:dyDescent="0.25">
      <c r="C59" s="17"/>
      <c r="D59" s="36"/>
      <c r="E59" s="84"/>
      <c r="F59" s="84"/>
      <c r="G59" s="85"/>
      <c r="H59" s="33"/>
      <c r="I59" s="86"/>
      <c r="J59" s="87"/>
      <c r="K59" s="86"/>
      <c r="L59" s="87"/>
      <c r="M59" s="86"/>
      <c r="N59" s="87"/>
      <c r="O59" s="86"/>
    </row>
    <row r="60" spans="3:15" s="6" customFormat="1" x14ac:dyDescent="0.25">
      <c r="C60" s="17"/>
      <c r="D60" s="36"/>
      <c r="E60" s="84"/>
      <c r="F60" s="84"/>
      <c r="G60" s="85"/>
      <c r="H60" s="33"/>
      <c r="I60" s="86"/>
      <c r="J60" s="87"/>
      <c r="K60" s="86"/>
      <c r="L60" s="87"/>
      <c r="M60" s="86"/>
      <c r="N60" s="87"/>
      <c r="O60" s="86"/>
    </row>
    <row r="61" spans="3:15" s="6" customFormat="1" x14ac:dyDescent="0.25">
      <c r="C61" s="17"/>
      <c r="D61" s="36"/>
      <c r="E61" s="84"/>
      <c r="F61" s="84"/>
      <c r="G61" s="85"/>
      <c r="H61" s="33"/>
      <c r="I61" s="86"/>
      <c r="J61" s="87"/>
      <c r="K61" s="86"/>
      <c r="L61" s="87"/>
      <c r="M61" s="86"/>
      <c r="N61" s="87"/>
      <c r="O61" s="86"/>
    </row>
    <row r="62" spans="3:15" s="6" customFormat="1" x14ac:dyDescent="0.25">
      <c r="C62" s="17"/>
      <c r="D62" s="36"/>
      <c r="E62" s="84"/>
      <c r="F62" s="84"/>
      <c r="G62" s="85"/>
      <c r="H62" s="33"/>
      <c r="I62" s="86"/>
      <c r="J62" s="87"/>
      <c r="K62" s="86"/>
      <c r="L62" s="87"/>
      <c r="M62" s="86"/>
      <c r="N62" s="87"/>
      <c r="O62" s="86"/>
    </row>
    <row r="63" spans="3:15" s="6" customFormat="1" x14ac:dyDescent="0.25">
      <c r="C63" s="17"/>
      <c r="D63" s="36"/>
      <c r="E63" s="84"/>
      <c r="F63" s="84"/>
      <c r="G63" s="85"/>
      <c r="H63" s="33"/>
      <c r="I63" s="86"/>
      <c r="J63" s="87"/>
      <c r="K63" s="86"/>
      <c r="L63" s="87"/>
      <c r="M63" s="86"/>
      <c r="N63" s="87"/>
      <c r="O63" s="86"/>
    </row>
    <row r="64" spans="3:15" s="6" customFormat="1" x14ac:dyDescent="0.25">
      <c r="C64" s="17"/>
      <c r="D64" s="36"/>
      <c r="E64" s="84"/>
      <c r="F64" s="84"/>
      <c r="G64" s="85"/>
      <c r="H64" s="33"/>
      <c r="I64" s="86"/>
      <c r="J64" s="87"/>
      <c r="K64" s="86"/>
      <c r="L64" s="87"/>
      <c r="M64" s="86"/>
      <c r="N64" s="87"/>
      <c r="O64" s="86"/>
    </row>
    <row r="65" spans="3:15" s="6" customFormat="1" x14ac:dyDescent="0.25">
      <c r="C65" s="17"/>
      <c r="D65" s="36"/>
      <c r="E65" s="84"/>
      <c r="F65" s="84"/>
      <c r="G65" s="85"/>
      <c r="H65" s="33"/>
      <c r="I65" s="86"/>
      <c r="J65" s="87"/>
      <c r="K65" s="86"/>
      <c r="L65" s="87"/>
      <c r="M65" s="86"/>
      <c r="N65" s="87"/>
      <c r="O65" s="86"/>
    </row>
    <row r="66" spans="3:15" s="6" customFormat="1" x14ac:dyDescent="0.25">
      <c r="C66" s="17"/>
      <c r="D66" s="36"/>
      <c r="E66" s="84"/>
      <c r="F66" s="84"/>
      <c r="G66" s="85"/>
      <c r="H66" s="33"/>
      <c r="I66" s="86"/>
      <c r="J66" s="87"/>
      <c r="K66" s="86"/>
      <c r="L66" s="87"/>
      <c r="M66" s="86"/>
      <c r="N66" s="87"/>
      <c r="O66" s="86"/>
    </row>
    <row r="67" spans="3:15" s="6" customFormat="1" x14ac:dyDescent="0.25">
      <c r="C67" s="17"/>
      <c r="D67" s="36"/>
      <c r="E67" s="84"/>
      <c r="F67" s="84"/>
      <c r="G67" s="85"/>
      <c r="H67" s="33"/>
      <c r="I67" s="86"/>
      <c r="J67" s="87"/>
      <c r="K67" s="86"/>
      <c r="L67" s="87"/>
      <c r="M67" s="86"/>
      <c r="N67" s="87"/>
      <c r="O67" s="86"/>
    </row>
    <row r="68" spans="3:15" s="6" customFormat="1" x14ac:dyDescent="0.25">
      <c r="C68" s="17"/>
      <c r="D68" s="36"/>
      <c r="E68" s="84"/>
      <c r="F68" s="84"/>
      <c r="G68" s="85"/>
      <c r="H68" s="33"/>
      <c r="I68" s="86"/>
      <c r="J68" s="87"/>
      <c r="K68" s="86"/>
      <c r="L68" s="87"/>
      <c r="M68" s="86"/>
      <c r="N68" s="87"/>
      <c r="O68" s="86"/>
    </row>
    <row r="69" spans="3:15" s="6" customFormat="1" x14ac:dyDescent="0.25">
      <c r="C69" s="17"/>
      <c r="D69" s="36"/>
      <c r="E69" s="84"/>
      <c r="F69" s="84"/>
      <c r="G69" s="85"/>
      <c r="H69" s="33"/>
      <c r="I69" s="86"/>
      <c r="J69" s="87"/>
      <c r="K69" s="86"/>
      <c r="L69" s="87"/>
      <c r="M69" s="86"/>
      <c r="N69" s="87"/>
      <c r="O69" s="86"/>
    </row>
    <row r="70" spans="3:15" s="6" customFormat="1" x14ac:dyDescent="0.25">
      <c r="C70" s="17"/>
      <c r="D70" s="36"/>
      <c r="E70" s="84"/>
      <c r="F70" s="84"/>
      <c r="G70" s="85"/>
      <c r="H70" s="33"/>
      <c r="I70" s="86"/>
      <c r="J70" s="87"/>
      <c r="K70" s="86"/>
      <c r="L70" s="87"/>
      <c r="M70" s="86"/>
      <c r="N70" s="87"/>
      <c r="O70" s="86"/>
    </row>
    <row r="71" spans="3:15" s="6" customFormat="1" x14ac:dyDescent="0.25">
      <c r="C71" s="17"/>
      <c r="D71" s="36"/>
      <c r="E71" s="84"/>
      <c r="F71" s="84"/>
      <c r="G71" s="85"/>
      <c r="H71" s="33"/>
      <c r="I71" s="86"/>
      <c r="J71" s="87"/>
      <c r="K71" s="86"/>
      <c r="L71" s="87"/>
      <c r="M71" s="86"/>
      <c r="N71" s="87"/>
      <c r="O71" s="86"/>
    </row>
    <row r="72" spans="3:15" s="6" customFormat="1" x14ac:dyDescent="0.25">
      <c r="C72" s="17"/>
      <c r="D72" s="36"/>
      <c r="E72" s="84"/>
      <c r="F72" s="84"/>
      <c r="G72" s="85"/>
      <c r="H72" s="33"/>
      <c r="I72" s="86"/>
      <c r="J72" s="87"/>
      <c r="K72" s="86"/>
      <c r="L72" s="87"/>
      <c r="M72" s="86"/>
      <c r="N72" s="87"/>
      <c r="O72" s="86"/>
    </row>
    <row r="73" spans="3:15" s="6" customFormat="1" x14ac:dyDescent="0.25">
      <c r="C73" s="17"/>
      <c r="D73" s="36"/>
      <c r="E73" s="84"/>
      <c r="F73" s="84"/>
      <c r="G73" s="85"/>
      <c r="H73" s="33"/>
      <c r="I73" s="86"/>
      <c r="J73" s="87"/>
      <c r="K73" s="86"/>
      <c r="L73" s="87"/>
      <c r="M73" s="86"/>
      <c r="N73" s="87"/>
      <c r="O73" s="86"/>
    </row>
    <row r="74" spans="3:15" s="6" customFormat="1" x14ac:dyDescent="0.25">
      <c r="C74" s="17"/>
      <c r="D74" s="36"/>
      <c r="E74" s="84"/>
      <c r="F74" s="84"/>
      <c r="G74" s="85"/>
      <c r="H74" s="33"/>
      <c r="I74" s="86"/>
      <c r="J74" s="87"/>
      <c r="K74" s="86"/>
      <c r="L74" s="87"/>
      <c r="M74" s="86"/>
      <c r="N74" s="87"/>
      <c r="O74" s="86"/>
    </row>
    <row r="75" spans="3:15" s="6" customFormat="1" x14ac:dyDescent="0.25">
      <c r="C75" s="17"/>
      <c r="D75" s="36"/>
      <c r="E75" s="84"/>
      <c r="F75" s="84"/>
      <c r="G75" s="85"/>
      <c r="H75" s="33"/>
      <c r="I75" s="86"/>
      <c r="J75" s="87"/>
      <c r="K75" s="86"/>
      <c r="L75" s="87"/>
      <c r="M75" s="86"/>
      <c r="N75" s="87"/>
      <c r="O75" s="86"/>
    </row>
    <row r="76" spans="3:15" s="6" customFormat="1" x14ac:dyDescent="0.25">
      <c r="C76" s="17"/>
      <c r="D76" s="36"/>
      <c r="E76" s="84"/>
      <c r="F76" s="84"/>
      <c r="G76" s="85"/>
      <c r="H76" s="33"/>
      <c r="I76" s="86"/>
      <c r="J76" s="87"/>
      <c r="K76" s="86"/>
      <c r="L76" s="87"/>
      <c r="M76" s="86"/>
      <c r="N76" s="87"/>
      <c r="O76" s="86"/>
    </row>
    <row r="77" spans="3:15" s="6" customFormat="1" x14ac:dyDescent="0.25">
      <c r="C77" s="17"/>
      <c r="D77" s="36"/>
      <c r="E77" s="84"/>
      <c r="F77" s="84"/>
      <c r="G77" s="85"/>
      <c r="H77" s="33"/>
      <c r="I77" s="86"/>
      <c r="J77" s="87"/>
      <c r="K77" s="86"/>
      <c r="L77" s="87"/>
      <c r="M77" s="86"/>
      <c r="N77" s="87"/>
      <c r="O77" s="86"/>
    </row>
    <row r="78" spans="3:15" s="6" customFormat="1" x14ac:dyDescent="0.25">
      <c r="C78" s="17"/>
      <c r="D78" s="36"/>
      <c r="E78" s="84"/>
      <c r="F78" s="84"/>
      <c r="G78" s="85"/>
      <c r="H78" s="33"/>
      <c r="I78" s="86"/>
      <c r="J78" s="87"/>
      <c r="K78" s="86"/>
      <c r="L78" s="87"/>
      <c r="M78" s="86"/>
      <c r="N78" s="87"/>
      <c r="O78" s="86"/>
    </row>
    <row r="79" spans="3:15" s="6" customFormat="1" x14ac:dyDescent="0.25">
      <c r="C79" s="17"/>
      <c r="D79" s="36"/>
      <c r="E79" s="84"/>
      <c r="F79" s="84"/>
      <c r="G79" s="85"/>
      <c r="H79" s="33"/>
      <c r="I79" s="86"/>
      <c r="J79" s="87"/>
      <c r="K79" s="86"/>
      <c r="L79" s="87"/>
      <c r="M79" s="86"/>
      <c r="N79" s="87"/>
      <c r="O79" s="86"/>
    </row>
    <row r="80" spans="3:15" s="6" customFormat="1" x14ac:dyDescent="0.25">
      <c r="C80" s="17"/>
      <c r="D80" s="36"/>
      <c r="E80" s="84"/>
      <c r="F80" s="84"/>
      <c r="G80" s="85"/>
      <c r="H80" s="33"/>
      <c r="I80" s="86"/>
      <c r="J80" s="87"/>
      <c r="K80" s="86"/>
      <c r="L80" s="87"/>
      <c r="M80" s="86"/>
      <c r="N80" s="87"/>
      <c r="O80" s="86"/>
    </row>
    <row r="81" spans="3:15" s="6" customFormat="1" x14ac:dyDescent="0.25">
      <c r="C81" s="17"/>
      <c r="D81" s="36"/>
      <c r="E81" s="84"/>
      <c r="F81" s="84"/>
      <c r="G81" s="85"/>
      <c r="H81" s="33"/>
      <c r="I81" s="86"/>
      <c r="J81" s="87"/>
      <c r="K81" s="86"/>
      <c r="L81" s="87"/>
      <c r="M81" s="86"/>
      <c r="N81" s="87"/>
      <c r="O81" s="86"/>
    </row>
    <row r="82" spans="3:15" s="6" customFormat="1" x14ac:dyDescent="0.25">
      <c r="C82" s="17"/>
      <c r="D82" s="36"/>
      <c r="E82" s="84"/>
      <c r="F82" s="84"/>
      <c r="G82" s="85"/>
      <c r="H82" s="33"/>
      <c r="I82" s="86"/>
      <c r="J82" s="87"/>
      <c r="K82" s="86"/>
      <c r="L82" s="87"/>
      <c r="M82" s="86"/>
      <c r="N82" s="87"/>
      <c r="O82" s="86"/>
    </row>
    <row r="83" spans="3:15" s="6" customFormat="1" x14ac:dyDescent="0.25">
      <c r="C83" s="17"/>
      <c r="D83" s="36"/>
      <c r="E83" s="84"/>
      <c r="F83" s="84"/>
      <c r="G83" s="85"/>
      <c r="H83" s="33"/>
      <c r="I83" s="86"/>
      <c r="J83" s="87"/>
      <c r="K83" s="86"/>
      <c r="L83" s="87"/>
      <c r="M83" s="86"/>
      <c r="N83" s="87"/>
      <c r="O83" s="86"/>
    </row>
    <row r="84" spans="3:15" s="6" customFormat="1" x14ac:dyDescent="0.25">
      <c r="C84" s="17"/>
      <c r="D84" s="36"/>
      <c r="E84" s="84"/>
      <c r="F84" s="84"/>
      <c r="G84" s="85"/>
      <c r="H84" s="33"/>
      <c r="I84" s="86"/>
      <c r="J84" s="87"/>
      <c r="K84" s="86"/>
      <c r="L84" s="87"/>
      <c r="M84" s="86"/>
      <c r="N84" s="87"/>
      <c r="O84" s="86"/>
    </row>
    <row r="85" spans="3:15" s="6" customFormat="1" x14ac:dyDescent="0.25">
      <c r="C85" s="17"/>
      <c r="D85" s="36"/>
      <c r="E85" s="84"/>
      <c r="F85" s="84"/>
      <c r="G85" s="85"/>
      <c r="H85" s="33"/>
      <c r="I85" s="86"/>
      <c r="J85" s="87"/>
      <c r="K85" s="86"/>
      <c r="L85" s="87"/>
      <c r="M85" s="86"/>
      <c r="N85" s="87"/>
      <c r="O85" s="86"/>
    </row>
    <row r="86" spans="3:15" s="6" customFormat="1" x14ac:dyDescent="0.25">
      <c r="C86" s="17"/>
      <c r="D86" s="36"/>
      <c r="E86" s="84"/>
      <c r="F86" s="84"/>
      <c r="G86" s="85"/>
      <c r="H86" s="33"/>
      <c r="I86" s="86"/>
      <c r="J86" s="87"/>
      <c r="K86" s="86"/>
      <c r="L86" s="87"/>
      <c r="M86" s="86"/>
      <c r="N86" s="87"/>
      <c r="O86" s="86"/>
    </row>
    <row r="87" spans="3:15" s="6" customFormat="1" x14ac:dyDescent="0.25">
      <c r="C87" s="17"/>
      <c r="D87" s="36"/>
      <c r="E87" s="84"/>
      <c r="F87" s="84"/>
      <c r="G87" s="85"/>
      <c r="H87" s="33"/>
      <c r="I87" s="86"/>
      <c r="J87" s="87"/>
      <c r="K87" s="86"/>
      <c r="L87" s="87"/>
      <c r="M87" s="86"/>
      <c r="N87" s="87"/>
      <c r="O87" s="86"/>
    </row>
    <row r="88" spans="3:15" s="6" customFormat="1" x14ac:dyDescent="0.25">
      <c r="C88" s="17"/>
      <c r="D88" s="36"/>
      <c r="E88" s="84"/>
      <c r="F88" s="84"/>
      <c r="G88" s="85"/>
      <c r="H88" s="33"/>
      <c r="I88" s="86"/>
      <c r="J88" s="87"/>
      <c r="K88" s="86"/>
      <c r="L88" s="87"/>
      <c r="M88" s="86"/>
      <c r="N88" s="87"/>
      <c r="O88" s="86"/>
    </row>
    <row r="89" spans="3:15" s="6" customFormat="1" x14ac:dyDescent="0.25">
      <c r="C89" s="17"/>
      <c r="D89" s="36"/>
      <c r="E89" s="84"/>
      <c r="F89" s="84"/>
      <c r="G89" s="85"/>
      <c r="H89" s="33"/>
      <c r="I89" s="86"/>
      <c r="J89" s="87"/>
      <c r="K89" s="86"/>
      <c r="L89" s="87"/>
      <c r="M89" s="86"/>
      <c r="N89" s="87"/>
      <c r="O89" s="86"/>
    </row>
    <row r="90" spans="3:15" s="6" customFormat="1" x14ac:dyDescent="0.25">
      <c r="C90" s="17"/>
      <c r="D90" s="36"/>
      <c r="E90" s="84"/>
      <c r="F90" s="84"/>
      <c r="G90" s="85"/>
      <c r="H90" s="33"/>
      <c r="I90" s="86"/>
      <c r="J90" s="87"/>
      <c r="K90" s="86"/>
      <c r="L90" s="87"/>
      <c r="M90" s="86"/>
      <c r="N90" s="87"/>
      <c r="O90" s="86"/>
    </row>
    <row r="91" spans="3:15" s="6" customFormat="1" x14ac:dyDescent="0.25">
      <c r="C91" s="17"/>
      <c r="D91" s="36"/>
      <c r="E91" s="84"/>
      <c r="F91" s="84"/>
      <c r="G91" s="85"/>
      <c r="H91" s="33"/>
      <c r="I91" s="86"/>
      <c r="J91" s="87"/>
      <c r="K91" s="86"/>
      <c r="L91" s="87"/>
      <c r="M91" s="86"/>
      <c r="N91" s="87"/>
      <c r="O91" s="86"/>
    </row>
    <row r="92" spans="3:15" s="6" customFormat="1" x14ac:dyDescent="0.25">
      <c r="C92" s="17"/>
      <c r="D92" s="36"/>
      <c r="E92" s="84"/>
      <c r="F92" s="84"/>
      <c r="G92" s="85"/>
      <c r="H92" s="33"/>
      <c r="I92" s="86"/>
      <c r="J92" s="87"/>
      <c r="K92" s="86"/>
      <c r="L92" s="87"/>
      <c r="M92" s="86"/>
      <c r="N92" s="87"/>
      <c r="O92" s="86"/>
    </row>
    <row r="93" spans="3:15" s="6" customFormat="1" x14ac:dyDescent="0.25">
      <c r="C93" s="17"/>
      <c r="D93" s="36"/>
      <c r="E93" s="84"/>
      <c r="F93" s="84"/>
      <c r="G93" s="85"/>
      <c r="H93" s="33"/>
      <c r="I93" s="86"/>
      <c r="J93" s="87"/>
      <c r="K93" s="86"/>
      <c r="L93" s="87"/>
      <c r="M93" s="86"/>
      <c r="N93" s="87"/>
      <c r="O93" s="86"/>
    </row>
    <row r="94" spans="3:15" s="6" customFormat="1" x14ac:dyDescent="0.25">
      <c r="C94" s="17"/>
      <c r="D94" s="36"/>
      <c r="E94" s="84"/>
      <c r="F94" s="84"/>
      <c r="G94" s="85"/>
      <c r="H94" s="33"/>
      <c r="I94" s="86"/>
      <c r="J94" s="87"/>
      <c r="K94" s="86"/>
      <c r="L94" s="87"/>
      <c r="M94" s="86"/>
      <c r="N94" s="87"/>
      <c r="O94" s="86"/>
    </row>
    <row r="95" spans="3:15" s="6" customFormat="1" x14ac:dyDescent="0.25">
      <c r="C95" s="17"/>
      <c r="D95" s="36"/>
      <c r="E95" s="84"/>
      <c r="F95" s="84"/>
      <c r="G95" s="85"/>
      <c r="H95" s="33"/>
      <c r="I95" s="86"/>
      <c r="J95" s="87"/>
      <c r="K95" s="86"/>
      <c r="L95" s="87"/>
      <c r="M95" s="86"/>
      <c r="N95" s="87"/>
      <c r="O95" s="86"/>
    </row>
    <row r="96" spans="3:15" s="6" customFormat="1" x14ac:dyDescent="0.25">
      <c r="C96" s="17"/>
      <c r="D96" s="36"/>
      <c r="E96" s="84"/>
      <c r="F96" s="84"/>
      <c r="G96" s="85"/>
      <c r="H96" s="33"/>
      <c r="I96" s="86"/>
      <c r="J96" s="87"/>
      <c r="K96" s="86"/>
      <c r="L96" s="87"/>
      <c r="M96" s="86"/>
      <c r="N96" s="87"/>
      <c r="O96" s="86"/>
    </row>
    <row r="97" spans="3:15" s="6" customFormat="1" x14ac:dyDescent="0.25">
      <c r="C97" s="17"/>
      <c r="D97" s="36"/>
      <c r="E97" s="84"/>
      <c r="F97" s="84"/>
      <c r="G97" s="85"/>
      <c r="H97" s="33"/>
      <c r="I97" s="86"/>
      <c r="J97" s="87"/>
      <c r="K97" s="86"/>
      <c r="L97" s="87"/>
      <c r="M97" s="86"/>
      <c r="N97" s="87"/>
      <c r="O97" s="86"/>
    </row>
    <row r="98" spans="3:15" s="6" customFormat="1" x14ac:dyDescent="0.25">
      <c r="C98" s="17"/>
      <c r="D98" s="36"/>
      <c r="E98" s="84"/>
      <c r="F98" s="84"/>
      <c r="G98" s="85"/>
      <c r="H98" s="33"/>
      <c r="I98" s="86"/>
      <c r="J98" s="87"/>
      <c r="K98" s="86"/>
      <c r="L98" s="87"/>
      <c r="M98" s="86"/>
      <c r="N98" s="87"/>
      <c r="O98" s="86"/>
    </row>
    <row r="99" spans="3:15" s="6" customFormat="1" x14ac:dyDescent="0.25">
      <c r="C99" s="17"/>
      <c r="D99" s="36"/>
      <c r="E99" s="84"/>
      <c r="F99" s="84"/>
      <c r="G99" s="85"/>
      <c r="H99" s="33"/>
      <c r="I99" s="86"/>
      <c r="J99" s="87"/>
      <c r="K99" s="86"/>
      <c r="L99" s="87"/>
      <c r="M99" s="86"/>
      <c r="N99" s="87"/>
      <c r="O99" s="86"/>
    </row>
    <row r="100" spans="3:15" s="6" customFormat="1" x14ac:dyDescent="0.25">
      <c r="C100" s="17"/>
      <c r="D100" s="36"/>
      <c r="E100" s="84"/>
      <c r="F100" s="84"/>
      <c r="G100" s="85"/>
      <c r="H100" s="33"/>
      <c r="I100" s="86"/>
      <c r="J100" s="87"/>
      <c r="K100" s="86"/>
      <c r="L100" s="87"/>
      <c r="M100" s="86"/>
      <c r="N100" s="87"/>
      <c r="O100" s="86"/>
    </row>
    <row r="101" spans="3:15" s="6" customFormat="1" x14ac:dyDescent="0.25">
      <c r="C101" s="17"/>
      <c r="D101" s="36"/>
      <c r="E101" s="84"/>
      <c r="F101" s="84"/>
      <c r="G101" s="85"/>
      <c r="H101" s="33"/>
      <c r="I101" s="86"/>
      <c r="J101" s="87"/>
      <c r="K101" s="86"/>
      <c r="L101" s="87"/>
      <c r="M101" s="86"/>
      <c r="N101" s="87"/>
      <c r="O101" s="86"/>
    </row>
    <row r="102" spans="3:15" s="6" customFormat="1" x14ac:dyDescent="0.25">
      <c r="C102" s="17"/>
      <c r="D102" s="36"/>
      <c r="E102" s="84"/>
      <c r="F102" s="84"/>
      <c r="G102" s="85"/>
      <c r="H102" s="33"/>
      <c r="I102" s="86"/>
      <c r="J102" s="87"/>
      <c r="K102" s="86"/>
      <c r="L102" s="87"/>
      <c r="M102" s="86"/>
      <c r="N102" s="87"/>
      <c r="O102" s="86"/>
    </row>
    <row r="103" spans="3:15" s="6" customFormat="1" x14ac:dyDescent="0.25">
      <c r="C103" s="17"/>
      <c r="D103" s="36"/>
      <c r="E103" s="84"/>
      <c r="F103" s="84"/>
      <c r="G103" s="85"/>
      <c r="H103" s="33"/>
      <c r="I103" s="86"/>
      <c r="J103" s="87"/>
      <c r="K103" s="86"/>
      <c r="L103" s="87"/>
      <c r="M103" s="86"/>
      <c r="N103" s="87"/>
      <c r="O103" s="86"/>
    </row>
    <row r="104" spans="3:15" s="6" customFormat="1" x14ac:dyDescent="0.25">
      <c r="C104" s="17"/>
      <c r="D104" s="36"/>
      <c r="E104" s="84"/>
      <c r="F104" s="84"/>
      <c r="G104" s="85"/>
      <c r="H104" s="33"/>
      <c r="I104" s="86"/>
      <c r="J104" s="87"/>
      <c r="K104" s="86"/>
      <c r="L104" s="87"/>
      <c r="M104" s="86"/>
      <c r="N104" s="87"/>
      <c r="O104" s="86"/>
    </row>
    <row r="105" spans="3:15" s="6" customFormat="1" x14ac:dyDescent="0.25">
      <c r="C105" s="17"/>
      <c r="D105" s="36"/>
      <c r="E105" s="84"/>
      <c r="F105" s="84"/>
      <c r="G105" s="85"/>
      <c r="H105" s="33"/>
      <c r="I105" s="86"/>
      <c r="J105" s="87"/>
      <c r="K105" s="86"/>
      <c r="L105" s="87"/>
      <c r="M105" s="86"/>
      <c r="N105" s="87"/>
      <c r="O105" s="86"/>
    </row>
    <row r="106" spans="3:15" s="6" customFormat="1" x14ac:dyDescent="0.25">
      <c r="C106" s="17"/>
      <c r="D106" s="36"/>
      <c r="E106" s="84"/>
      <c r="F106" s="84"/>
      <c r="G106" s="85"/>
      <c r="H106" s="33"/>
      <c r="I106" s="86"/>
      <c r="J106" s="87"/>
      <c r="K106" s="86"/>
      <c r="L106" s="87"/>
      <c r="M106" s="86"/>
      <c r="N106" s="87"/>
      <c r="O106" s="86"/>
    </row>
    <row r="107" spans="3:15" s="6" customFormat="1" x14ac:dyDescent="0.25">
      <c r="C107" s="17"/>
      <c r="D107" s="36"/>
      <c r="E107" s="84"/>
      <c r="F107" s="84"/>
      <c r="G107" s="85"/>
      <c r="H107" s="33"/>
      <c r="I107" s="86"/>
      <c r="J107" s="87"/>
      <c r="K107" s="86"/>
      <c r="L107" s="87"/>
      <c r="M107" s="86"/>
      <c r="N107" s="87"/>
      <c r="O107" s="86"/>
    </row>
    <row r="108" spans="3:15" s="6" customFormat="1" x14ac:dyDescent="0.25">
      <c r="C108" s="17"/>
      <c r="D108" s="36"/>
      <c r="E108" s="84"/>
      <c r="F108" s="84"/>
      <c r="G108" s="85"/>
      <c r="H108" s="33"/>
      <c r="I108" s="86"/>
      <c r="J108" s="87"/>
      <c r="K108" s="86"/>
      <c r="L108" s="87"/>
      <c r="M108" s="86"/>
      <c r="N108" s="87"/>
      <c r="O108" s="86"/>
    </row>
    <row r="109" spans="3:15" s="6" customFormat="1" x14ac:dyDescent="0.25">
      <c r="C109" s="17"/>
      <c r="D109" s="36"/>
      <c r="E109" s="84"/>
      <c r="F109" s="84"/>
      <c r="G109" s="85"/>
      <c r="H109" s="33"/>
      <c r="I109" s="86"/>
      <c r="J109" s="87"/>
      <c r="K109" s="86"/>
      <c r="L109" s="87"/>
      <c r="M109" s="86"/>
      <c r="N109" s="87"/>
      <c r="O109" s="86"/>
    </row>
    <row r="110" spans="3:15" s="6" customFormat="1" x14ac:dyDescent="0.25">
      <c r="C110" s="17"/>
      <c r="D110" s="36"/>
      <c r="E110" s="84"/>
      <c r="F110" s="84"/>
      <c r="G110" s="85"/>
      <c r="H110" s="33"/>
      <c r="I110" s="86"/>
      <c r="J110" s="87"/>
      <c r="K110" s="86"/>
      <c r="L110" s="87"/>
      <c r="M110" s="86"/>
      <c r="N110" s="87"/>
      <c r="O110" s="86"/>
    </row>
    <row r="111" spans="3:15" s="6" customFormat="1" x14ac:dyDescent="0.25">
      <c r="C111" s="17"/>
      <c r="D111" s="36"/>
      <c r="E111" s="84"/>
      <c r="F111" s="84"/>
      <c r="G111" s="85"/>
      <c r="H111" s="33"/>
      <c r="I111" s="86"/>
      <c r="J111" s="87"/>
      <c r="K111" s="86"/>
      <c r="L111" s="87"/>
      <c r="M111" s="86"/>
      <c r="N111" s="87"/>
      <c r="O111" s="86"/>
    </row>
    <row r="112" spans="3:15" s="6" customFormat="1" x14ac:dyDescent="0.25">
      <c r="C112" s="17"/>
      <c r="D112" s="36"/>
      <c r="E112" s="84"/>
      <c r="F112" s="84"/>
      <c r="G112" s="85"/>
      <c r="H112" s="33"/>
      <c r="I112" s="86"/>
      <c r="J112" s="87"/>
      <c r="K112" s="86"/>
      <c r="L112" s="87"/>
      <c r="M112" s="86"/>
      <c r="N112" s="87"/>
      <c r="O112" s="86"/>
    </row>
    <row r="113" spans="3:15" s="6" customFormat="1" x14ac:dyDescent="0.25">
      <c r="C113" s="17"/>
      <c r="D113" s="36"/>
      <c r="E113" s="84"/>
      <c r="F113" s="84"/>
      <c r="G113" s="85"/>
      <c r="H113" s="33"/>
      <c r="I113" s="86"/>
      <c r="J113" s="87"/>
      <c r="K113" s="86"/>
      <c r="L113" s="87"/>
      <c r="M113" s="86"/>
      <c r="N113" s="87"/>
      <c r="O113" s="86"/>
    </row>
    <row r="114" spans="3:15" s="6" customFormat="1" x14ac:dyDescent="0.25">
      <c r="C114" s="17"/>
      <c r="D114" s="36"/>
      <c r="E114" s="84"/>
      <c r="F114" s="84"/>
      <c r="G114" s="85"/>
      <c r="H114" s="33"/>
      <c r="I114" s="86"/>
      <c r="J114" s="87"/>
      <c r="K114" s="86"/>
      <c r="L114" s="87"/>
      <c r="M114" s="86"/>
      <c r="N114" s="87"/>
      <c r="O114" s="86"/>
    </row>
    <row r="115" spans="3:15" s="6" customFormat="1" x14ac:dyDescent="0.25">
      <c r="C115" s="17"/>
      <c r="D115" s="36"/>
      <c r="E115" s="84"/>
      <c r="F115" s="84"/>
      <c r="G115" s="85"/>
      <c r="H115" s="33"/>
      <c r="I115" s="86"/>
      <c r="J115" s="87"/>
      <c r="K115" s="86"/>
      <c r="L115" s="87"/>
      <c r="M115" s="86"/>
      <c r="N115" s="87"/>
      <c r="O115" s="86"/>
    </row>
  </sheetData>
  <autoFilter ref="A2:O34">
    <filterColumn colId="7" showButton="0"/>
    <filterColumn colId="9" showButton="0"/>
    <filterColumn colId="11" showButton="0"/>
    <filterColumn colId="13" showButton="0"/>
    <sortState ref="A2:AC120">
      <sortCondition ref="C1:C120"/>
    </sortState>
  </autoFilter>
  <mergeCells count="4">
    <mergeCell ref="H2:I2"/>
    <mergeCell ref="J2:K2"/>
    <mergeCell ref="L2:M2"/>
    <mergeCell ref="N2:O2"/>
  </mergeCells>
  <hyperlinks>
    <hyperlink ref="H17" r:id="rId1"/>
    <hyperlink ref="J24" r:id="rId2"/>
    <hyperlink ref="H30" r:id="rId3"/>
    <hyperlink ref="J30" r:id="rId4" display="https://www.linio.com.co/p/tubo-de-cobre-tipo-l-3-4-pg-x-3m-lfomk0?adjust_t=1zira0_f1h7ws&amp;adjust_google_network=g&amp;adjust_google_placement=&amp;adjust_campaign=LICO-LAB-TC-INSTI-LOC-00017-Product_Pages-Oct19-GG-DSA-Conversion-Mix&amp;adjust_adgroup=131617331194&amp;gclid=Cj0KCQjwjryjBhD0ARIsAMLvnF8clDnlIPYP06BRs-YA7UmfLImzZ3PlRRIp1MEuDscNzpKYgDpymDkaArA9EALw_wcB"/>
    <hyperlink ref="L30" r:id="rId5"/>
    <hyperlink ref="J7" r:id="rId6" location="/139-presentacion-1_1_2_pulgadas"/>
    <hyperlink ref="H26" r:id="rId7"/>
    <hyperlink ref="J26" r:id="rId8" display="https://mitiendacoval.com/sanitaria-y-ventilacion-/codo-90-x-2-cxc-sanitaria"/>
    <hyperlink ref="L26" r:id="rId9"/>
    <hyperlink ref="H32" r:id="rId10"/>
    <hyperlink ref="J32" r:id="rId11"/>
    <hyperlink ref="H28" r:id="rId12"/>
    <hyperlink ref="H29" r:id="rId13"/>
    <hyperlink ref="H4" r:id="rId14"/>
    <hyperlink ref="J28" r:id="rId15"/>
    <hyperlink ref="H27" r:id="rId16"/>
    <hyperlink ref="H12" r:id="rId17"/>
    <hyperlink ref="J12" r:id="rId18"/>
    <hyperlink ref="H15" r:id="rId19"/>
    <hyperlink ref="H11" r:id="rId20"/>
    <hyperlink ref="J11" r:id="rId21"/>
    <hyperlink ref="H31" r:id="rId22"/>
    <hyperlink ref="H16" r:id="rId23"/>
    <hyperlink ref="N24" r:id="rId24"/>
    <hyperlink ref="N30" r:id="rId25"/>
    <hyperlink ref="N26" r:id="rId26"/>
    <hyperlink ref="H25" r:id="rId27"/>
    <hyperlink ref="J25" r:id="rId28"/>
    <hyperlink ref="H9" r:id="rId29"/>
  </hyperlinks>
  <pageMargins left="0.7" right="0.7" top="0.75" bottom="0.75" header="0.3" footer="0.3"/>
  <pageSetup orientation="portrait" horizontalDpi="4294967292" verticalDpi="0"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5" ma:contentTypeDescription="Crear nuevo documento." ma:contentTypeScope="" ma:versionID="d472228d8f0161ea6cb38c7a583e1d02">
  <xsd:schema xmlns:xsd="http://www.w3.org/2001/XMLSchema" xmlns:xs="http://www.w3.org/2001/XMLSchema" xmlns:p="http://schemas.microsoft.com/office/2006/metadata/properties" xmlns:ns2="41a7b7eb-8fb4-4afc-80a6-585680cf9f7b" xmlns:ns3="7887e59d-d3df-4ad4-a2eb-7833e4d78df7" targetNamespace="http://schemas.microsoft.com/office/2006/metadata/properties" ma:root="true" ma:fieldsID="174622aa6ec213ea0e29d4a149151795" ns2:_="" ns3:_="">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SharedWithUsers xmlns="7887e59d-d3df-4ad4-a2eb-7833e4d78df7">
      <UserInfo>
        <DisplayName>Martha Cecilia Piñeros Rodríguez</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843C2C-BE1D-453B-9302-C1B62D3B9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87C84-B982-4A30-A4AA-45F18D8ACF9E}">
  <ds:schemaRefs>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7887e59d-d3df-4ad4-a2eb-7833e4d78df7"/>
    <ds:schemaRef ds:uri="41a7b7eb-8fb4-4afc-80a6-585680cf9f7b"/>
    <ds:schemaRef ds:uri="http://schemas.microsoft.com/office/2006/metadata/properties"/>
  </ds:schemaRefs>
</ds:datastoreItem>
</file>

<file path=customXml/itemProps3.xml><?xml version="1.0" encoding="utf-8"?>
<ds:datastoreItem xmlns:ds="http://schemas.openxmlformats.org/officeDocument/2006/customXml" ds:itemID="{D3CEC7F9-89A7-4220-AC0B-D0223F58A6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EM NO INCLUIDOS RFI170385</vt:lpstr>
      <vt:lpstr>RESUMEN CONSTANCIA DE MERCA</vt:lpstr>
      <vt:lpstr>LISTA PRECIOS TECHO</vt:lpstr>
      <vt:lpstr>NO SE ENCONTRARON</vt:lpstr>
      <vt:lpstr>'RESUMEN CONSTANCIA DE MERCA'!Área_de_impresión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dc:creator>
  <cp:keywords/>
  <dc:description/>
  <cp:lastModifiedBy>LILIAN</cp:lastModifiedBy>
  <cp:revision/>
  <cp:lastPrinted>2024-02-19T22:45:34Z</cp:lastPrinted>
  <dcterms:created xsi:type="dcterms:W3CDTF">2023-05-10T22:24:31Z</dcterms:created>
  <dcterms:modified xsi:type="dcterms:W3CDTF">2024-03-26T15:55:14Z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